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Estimate cost 2020\"/>
    </mc:Choice>
  </mc:AlternateContent>
  <xr:revisionPtr revIDLastSave="0" documentId="13_ncr:1_{D455BA79-BCD8-43C4-8BEA-026341617C4A}" xr6:coauthVersionLast="45" xr6:coauthVersionMax="45" xr10:uidLastSave="{00000000-0000-0000-0000-000000000000}"/>
  <bookViews>
    <workbookView xWindow="3195" yWindow="0" windowWidth="15780" windowHeight="7230" firstSheet="1" activeTab="1" xr2:uid="{CE076554-A435-4462-B117-A7481F72E406}"/>
  </bookViews>
  <sheets>
    <sheet name="2019-2020 comparison" sheetId="1" r:id="rId1"/>
    <sheet name="2020 estim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9" i="2" l="1"/>
  <c r="K29" i="2"/>
  <c r="J29" i="2"/>
  <c r="I29" i="2"/>
  <c r="G39" i="2" l="1"/>
  <c r="H39" i="2"/>
  <c r="I39" i="2"/>
  <c r="J39" i="2"/>
  <c r="K39" i="2"/>
  <c r="L39" i="2"/>
  <c r="M39" i="2"/>
  <c r="G38" i="2"/>
  <c r="H38" i="2"/>
  <c r="I38" i="2"/>
  <c r="J38" i="2"/>
  <c r="K38" i="2"/>
  <c r="L38" i="2"/>
  <c r="M38" i="2"/>
  <c r="C39" i="2"/>
  <c r="D39" i="2"/>
  <c r="E39" i="2"/>
  <c r="C38" i="2"/>
  <c r="D38" i="2"/>
  <c r="E38" i="2"/>
  <c r="C37" i="2"/>
  <c r="D37" i="2"/>
  <c r="E37" i="2"/>
  <c r="C36" i="2"/>
  <c r="D36" i="2"/>
  <c r="E36" i="2"/>
  <c r="B37" i="2"/>
  <c r="B38" i="2"/>
  <c r="B39" i="2"/>
  <c r="B36" i="2"/>
  <c r="C43" i="2"/>
  <c r="D43" i="2"/>
  <c r="E43" i="2"/>
  <c r="F43" i="2"/>
  <c r="G43" i="2"/>
  <c r="H43" i="2"/>
  <c r="I43" i="2"/>
  <c r="J43" i="2"/>
  <c r="K43" i="2"/>
  <c r="L43" i="2"/>
  <c r="M43" i="2"/>
  <c r="B43" i="2"/>
  <c r="E42" i="2"/>
  <c r="F42" i="2"/>
  <c r="G42" i="2"/>
  <c r="H42" i="2"/>
  <c r="I42" i="2"/>
  <c r="J42" i="2"/>
  <c r="K42" i="2"/>
  <c r="L42" i="2"/>
  <c r="M42" i="2"/>
  <c r="E41" i="2"/>
  <c r="F41" i="2"/>
  <c r="G41" i="2"/>
  <c r="H41" i="2"/>
  <c r="I41" i="2"/>
  <c r="J41" i="2"/>
  <c r="K41" i="2"/>
  <c r="L41" i="2"/>
  <c r="M41" i="2"/>
  <c r="D42" i="2"/>
  <c r="D41" i="2"/>
  <c r="N28" i="2"/>
  <c r="N27" i="2"/>
  <c r="B29" i="2"/>
  <c r="C29" i="2"/>
  <c r="D29" i="2"/>
  <c r="E29" i="2"/>
  <c r="F29" i="2"/>
  <c r="G29" i="2"/>
  <c r="H29" i="2"/>
  <c r="M29" i="2"/>
  <c r="N29" i="2"/>
  <c r="B13" i="2"/>
  <c r="C13" i="2"/>
  <c r="D13" i="2"/>
  <c r="E13" i="2"/>
  <c r="F13" i="2"/>
  <c r="H13" i="2"/>
  <c r="I13" i="2"/>
  <c r="K13" i="2"/>
  <c r="L13" i="2"/>
  <c r="M13" i="2"/>
  <c r="N42" i="2" l="1"/>
  <c r="N41" i="2"/>
  <c r="N13" i="2"/>
  <c r="F39" i="2"/>
  <c r="F38" i="2"/>
  <c r="N38" i="2" s="1"/>
  <c r="G37" i="2"/>
  <c r="H37" i="2"/>
  <c r="I37" i="2"/>
  <c r="J37" i="2"/>
  <c r="K37" i="2"/>
  <c r="L37" i="2"/>
  <c r="M37" i="2"/>
  <c r="G36" i="2"/>
  <c r="H36" i="2"/>
  <c r="I36" i="2"/>
  <c r="J36" i="2"/>
  <c r="K36" i="2"/>
  <c r="L36" i="2"/>
  <c r="M36" i="2"/>
  <c r="F37" i="2"/>
  <c r="F36" i="2"/>
  <c r="N35" i="2"/>
  <c r="N34" i="2"/>
  <c r="H26" i="2"/>
  <c r="H30" i="2" l="1"/>
  <c r="N36" i="2"/>
  <c r="N37" i="2"/>
  <c r="M26" i="2"/>
  <c r="L26" i="2"/>
  <c r="K26" i="2"/>
  <c r="J26" i="2"/>
  <c r="I26" i="2"/>
  <c r="G26" i="2"/>
  <c r="F26" i="2"/>
  <c r="F30" i="2" s="1"/>
  <c r="E26" i="2"/>
  <c r="D26" i="2"/>
  <c r="C26" i="2"/>
  <c r="B26" i="2"/>
  <c r="N24" i="2"/>
  <c r="N23" i="2"/>
  <c r="N22" i="2"/>
  <c r="N21" i="2"/>
  <c r="N20" i="2"/>
  <c r="E30" i="2" l="1"/>
  <c r="J30" i="2"/>
  <c r="B30" i="2"/>
  <c r="K30" i="2"/>
  <c r="N40" i="2"/>
  <c r="C30" i="2"/>
  <c r="G30" i="2"/>
  <c r="L30" i="2"/>
  <c r="D30" i="2"/>
  <c r="I30" i="2"/>
  <c r="M30" i="2"/>
  <c r="N26" i="2"/>
  <c r="N30" i="2" s="1"/>
  <c r="N6" i="2" l="1"/>
  <c r="N4" i="2"/>
  <c r="C9" i="2" l="1"/>
  <c r="C40" i="2" s="1"/>
  <c r="D9" i="2"/>
  <c r="E9" i="2"/>
  <c r="E40" i="2" s="1"/>
  <c r="F9" i="2"/>
  <c r="F40" i="2" s="1"/>
  <c r="G9" i="2"/>
  <c r="H9" i="2"/>
  <c r="H40" i="2" s="1"/>
  <c r="I9" i="2"/>
  <c r="J9" i="2"/>
  <c r="K9" i="2"/>
  <c r="L9" i="2"/>
  <c r="M9" i="2"/>
  <c r="B9" i="2"/>
  <c r="B12" i="2" l="1"/>
  <c r="B14" i="2" s="1"/>
  <c r="B44" i="2" s="1"/>
  <c r="B40" i="2"/>
  <c r="J12" i="2"/>
  <c r="J14" i="2" s="1"/>
  <c r="J44" i="2" s="1"/>
  <c r="J40" i="2"/>
  <c r="M12" i="2"/>
  <c r="M14" i="2" s="1"/>
  <c r="M44" i="2" s="1"/>
  <c r="M40" i="2"/>
  <c r="I12" i="2"/>
  <c r="I14" i="2" s="1"/>
  <c r="I44" i="2" s="1"/>
  <c r="I40" i="2"/>
  <c r="L12" i="2"/>
  <c r="L14" i="2" s="1"/>
  <c r="L44" i="2" s="1"/>
  <c r="L40" i="2"/>
  <c r="D12" i="2"/>
  <c r="D14" i="2" s="1"/>
  <c r="D44" i="2" s="1"/>
  <c r="D40" i="2"/>
  <c r="K12" i="2"/>
  <c r="K14" i="2" s="1"/>
  <c r="K44" i="2" s="1"/>
  <c r="K40" i="2"/>
  <c r="G12" i="2"/>
  <c r="G14" i="2" s="1"/>
  <c r="G44" i="2" s="1"/>
  <c r="G40" i="2"/>
  <c r="N11" i="2"/>
  <c r="H10" i="2"/>
  <c r="H12" i="2" s="1"/>
  <c r="H14" i="2" s="1"/>
  <c r="H44" i="2" s="1"/>
  <c r="E10" i="2"/>
  <c r="E12" i="2" s="1"/>
  <c r="E14" i="2" s="1"/>
  <c r="E44" i="2" s="1"/>
  <c r="C10" i="2"/>
  <c r="C12" i="2" s="1"/>
  <c r="C14" i="2" s="1"/>
  <c r="C44" i="2" s="1"/>
  <c r="N7" i="2"/>
  <c r="N3" i="2"/>
  <c r="N10" i="2" l="1"/>
  <c r="N5" i="2"/>
  <c r="N9" i="2" s="1"/>
  <c r="N12" i="1"/>
  <c r="H11" i="1"/>
  <c r="E11" i="1"/>
  <c r="C11" i="1"/>
  <c r="N11" i="1" s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  <c r="N43" i="2" l="1"/>
  <c r="N44" i="2" s="1"/>
  <c r="N14" i="2" l="1"/>
  <c r="N12" i="2"/>
  <c r="F44" i="2"/>
  <c r="F12" i="2"/>
  <c r="F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sgdann</author>
  </authors>
  <commentList>
    <comment ref="A6" authorId="0" shapeId="0" xr:uid="{206DC8D0-895E-42FA-8CA4-384282DF92CD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</commentList>
</comments>
</file>

<file path=xl/sharedStrings.xml><?xml version="1.0" encoding="utf-8"?>
<sst xmlns="http://schemas.openxmlformats.org/spreadsheetml/2006/main" count="153" uniqueCount="46">
  <si>
    <t>To include autopack</t>
  </si>
  <si>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</si>
  <si>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</si>
  <si>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</si>
  <si>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</si>
  <si>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</si>
  <si>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</si>
  <si>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</si>
  <si>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</si>
  <si>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</si>
  <si>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</si>
  <si>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</si>
  <si>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</si>
  <si>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</si>
  <si>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</si>
  <si>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</si>
  <si>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CEI PCBA</t>
  </si>
  <si>
    <t>Calibration $ to Flex</t>
  </si>
  <si>
    <t>Calibration $ to Flex PCBA</t>
  </si>
  <si>
    <t>Calibration $ to Venture</t>
  </si>
  <si>
    <t>Calibration $ to Venture PCBA</t>
  </si>
  <si>
    <t>Calibration $ to Supplier directly</t>
  </si>
  <si>
    <t xml:space="preserve">Total Actual calibration in 2019 (Excluding parts/adhoc) </t>
  </si>
  <si>
    <t>Calibration contract (GTS) estimated</t>
  </si>
  <si>
    <t>Calibration contract (Calibration) estimated</t>
  </si>
  <si>
    <t>Calibration from other vendors estimated</t>
  </si>
  <si>
    <t>Jan(Act)</t>
  </si>
  <si>
    <t>Feb(Act)</t>
  </si>
  <si>
    <t>Mar(Act)</t>
  </si>
  <si>
    <t>Apr(Act)</t>
  </si>
  <si>
    <t>Total 2020</t>
  </si>
  <si>
    <t>NA</t>
  </si>
  <si>
    <t>Total calibration cost from other Vendors</t>
  </si>
  <si>
    <t>MPC Calibration contract (GTS) estimated</t>
  </si>
  <si>
    <t>MPC Calibration contract (Calibration) estimated</t>
  </si>
  <si>
    <t>Total calibration Cost in 2020</t>
  </si>
  <si>
    <t>Adhoc calibration</t>
  </si>
  <si>
    <t>Total calibration Cost with Adhoc in 2020</t>
  </si>
  <si>
    <t>Billing from CMs</t>
  </si>
  <si>
    <t>May(Act)</t>
  </si>
  <si>
    <t xml:space="preserve">Differences </t>
  </si>
  <si>
    <t>MPC Calibration contract (GTS) Act</t>
  </si>
  <si>
    <t>MPC Calibration contract (Calibration) Act</t>
  </si>
  <si>
    <t xml:space="preserve">MPC Calibration contract (GTS) </t>
  </si>
  <si>
    <t xml:space="preserve">MPC Calibration contract (Calibration) 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</si>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</sst>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/>
    <xf numFmtId="0" fontId="9" fillId="3" borderId="0" xfId="0" applyFont="1" applyFill="1" applyAlignment="1">
      <alignment horizontal="left"/>
    </xf>
    <xf numFmtId="44" fontId="0" fillId="5" borderId="0" xfId="0" applyNumberFormat="1" applyFill="1"/>
    <xf numFmtId="44" fontId="0" fillId="3" borderId="0" xfId="0" applyNumberFormat="1" applyFill="1"/>
    <xf numFmtId="0" fontId="10" fillId="2" borderId="1" xfId="0" applyFont="1" applyFill="1" applyBorder="1"/>
    <xf numFmtId="0" fontId="0" fillId="6" borderId="0" xfId="0" applyFill="1" applyAlignment="1">
      <alignment horizontal="left"/>
    </xf>
    <xf numFmtId="44" fontId="0" fillId="6" borderId="0" xfId="0" applyNumberFormat="1" applyFill="1"/>
    <xf numFmtId="0" fontId="1" fillId="6" borderId="0" xfId="0" applyFont="1" applyFill="1" applyAlignment="1">
      <alignment horizontal="left"/>
    </xf>
    <xf numFmtId="44" fontId="1" fillId="6" borderId="0" xfId="0" applyNumberFormat="1" applyFont="1" applyFill="1"/>
    <xf numFmtId="0" fontId="9" fillId="6" borderId="0" xfId="0" applyFont="1" applyFill="1" applyAlignment="1">
      <alignment horizontal="left"/>
    </xf>
    <xf numFmtId="44" fontId="11" fillId="0" borderId="0" xfId="3" applyFont="1" applyFill="1" applyAlignment="1">
      <alignment horizontal="center" vertical="center"/>
    </xf>
    <xf numFmtId="44" fontId="12" fillId="0" borderId="0" xfId="0" applyNumberFormat="1" applyFont="1" applyFill="1"/>
    <xf numFmtId="44" fontId="12" fillId="7" borderId="0" xfId="0" applyNumberFormat="1" applyFont="1" applyFill="1"/>
    <xf numFmtId="44" fontId="0" fillId="7" borderId="0" xfId="0" applyNumberFormat="1" applyFill="1"/>
    <xf numFmtId="44" fontId="7" fillId="7" borderId="0" xfId="0" applyNumberFormat="1" applyFont="1" applyFill="1"/>
  </cellXfs>
  <cellStyles count="4">
    <cellStyle name="Comma 4 2" xfId="2" xr:uid="{D2405EDA-0ED7-40AA-9E0F-37648C961268}"/>
    <cellStyle name="Currency" xfId="3" builtinId="4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zoomScaleNormal="100" workbookViewId="0">
      <selection activeCell="G3" sqref="G3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4" t="s">
        <v>0</v>
      </c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 t="s">
        <v>14</v>
      </c>
    </row>
    <row r="3" spans="1:15" x14ac:dyDescent="0.25">
      <c r="A3" s="5" t="s">
        <v>15</v>
      </c>
      <c r="B3" s="3"/>
      <c r="C3" s="3"/>
      <c r="D3" s="3"/>
      <c r="E3" s="3"/>
      <c r="F3" s="3"/>
      <c r="G3" s="15">
        <v>590.94000000000005</v>
      </c>
      <c r="H3" s="3"/>
      <c r="I3" s="3"/>
      <c r="J3" s="3"/>
      <c r="K3" s="3"/>
      <c r="L3" s="3"/>
      <c r="M3" s="3"/>
      <c r="N3" s="3">
        <f t="shared" ref="N3:N9" si="0">SUM(B3:M3)</f>
        <v>590.94000000000005</v>
      </c>
      <c r="O3" s="7"/>
    </row>
    <row r="4" spans="1:15" x14ac:dyDescent="0.25">
      <c r="A4" s="5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15">
        <v>3488.93</v>
      </c>
      <c r="M4" s="3"/>
      <c r="N4" s="3"/>
      <c r="O4" s="7"/>
    </row>
    <row r="5" spans="1:15" x14ac:dyDescent="0.25">
      <c r="A5" s="5" t="s">
        <v>17</v>
      </c>
      <c r="B5" s="15">
        <f>577.2*1.05+538.35</f>
        <v>1144.4100000000001</v>
      </c>
      <c r="C5" s="15">
        <f>705.53*1.05+565.48</f>
        <v>1306.2865000000002</v>
      </c>
      <c r="D5" s="15">
        <f>563.1*1.05+209.74</f>
        <v>800.995</v>
      </c>
      <c r="E5" s="15">
        <f>873.7*1.05+478.05</f>
        <v>1395.4350000000002</v>
      </c>
      <c r="F5" s="15">
        <f>435.82*1.05+176.6+1209.72*1.05</f>
        <v>1904.4170000000001</v>
      </c>
      <c r="G5" s="15">
        <f>765.1*1.05+289.39+126.32</f>
        <v>1219.0649999999998</v>
      </c>
      <c r="H5" s="15">
        <f>1187.61*1.05+288.21</f>
        <v>1535.2004999999999</v>
      </c>
      <c r="I5" s="15">
        <f>141.94*1.05+2003.4</f>
        <v>2152.4369999999999</v>
      </c>
      <c r="J5" s="15">
        <v>1011.5</v>
      </c>
      <c r="K5" s="15">
        <f>607.77</f>
        <v>607.77</v>
      </c>
      <c r="L5" s="15">
        <f>425.82*1.05</f>
        <v>447.11099999999999</v>
      </c>
      <c r="M5" s="15">
        <f>421.16*1.05+738.25</f>
        <v>1180.4680000000001</v>
      </c>
      <c r="N5" s="3">
        <f t="shared" si="0"/>
        <v>14705.095000000003</v>
      </c>
      <c r="O5" s="7"/>
    </row>
    <row r="6" spans="1:15" x14ac:dyDescent="0.25">
      <c r="A6" s="5" t="s">
        <v>18</v>
      </c>
      <c r="B6" s="3"/>
      <c r="C6" s="3"/>
      <c r="D6" s="15">
        <v>481.48</v>
      </c>
      <c r="E6" s="3"/>
      <c r="F6" s="3"/>
      <c r="G6" s="15">
        <v>618.03</v>
      </c>
      <c r="H6" s="3"/>
      <c r="I6" s="3"/>
      <c r="J6" s="15">
        <v>303.98</v>
      </c>
      <c r="K6" s="3"/>
      <c r="L6" s="3"/>
      <c r="M6" s="3"/>
      <c r="N6" s="3"/>
      <c r="O6" s="7"/>
    </row>
    <row r="7" spans="1:15" x14ac:dyDescent="0.25">
      <c r="A7" s="5" t="s">
        <v>19</v>
      </c>
      <c r="B7" s="15">
        <v>494.4</v>
      </c>
      <c r="C7" s="15">
        <f>240+3324</f>
        <v>3564</v>
      </c>
      <c r="D7" s="15">
        <f>1436+185</f>
        <v>1621</v>
      </c>
      <c r="E7" s="15">
        <f>2789</f>
        <v>2789</v>
      </c>
      <c r="F7" s="15">
        <f>2327</f>
        <v>2327</v>
      </c>
      <c r="G7" s="15">
        <f>315.2+258.4</f>
        <v>573.59999999999991</v>
      </c>
      <c r="H7" s="15">
        <f>384+350+250</f>
        <v>984</v>
      </c>
      <c r="I7" s="15">
        <f>432+920.16</f>
        <v>1352.1599999999999</v>
      </c>
      <c r="J7" s="15">
        <v>0</v>
      </c>
      <c r="K7" s="15">
        <f>1140</f>
        <v>1140</v>
      </c>
      <c r="L7" s="15">
        <f>778+612</f>
        <v>1390</v>
      </c>
      <c r="M7" s="15">
        <v>0</v>
      </c>
      <c r="N7" s="3">
        <f t="shared" si="0"/>
        <v>16235.16</v>
      </c>
      <c r="O7" s="7"/>
    </row>
    <row r="8" spans="1:15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15">
        <v>720</v>
      </c>
      <c r="K8" s="15">
        <v>344</v>
      </c>
      <c r="L8" s="3"/>
      <c r="M8" s="3"/>
      <c r="N8" s="3"/>
      <c r="O8" s="7"/>
    </row>
    <row r="9" spans="1:15" x14ac:dyDescent="0.25">
      <c r="A9" s="6" t="s">
        <v>21</v>
      </c>
      <c r="B9" s="3"/>
      <c r="C9" s="3">
        <v>1184.1300000000001</v>
      </c>
      <c r="D9" s="3">
        <f>2105.59+756.82+1085.82</f>
        <v>3948.2300000000005</v>
      </c>
      <c r="E9" s="3">
        <f>7320</f>
        <v>7320</v>
      </c>
      <c r="F9" s="3"/>
      <c r="G9" s="3"/>
      <c r="H9" s="3"/>
      <c r="I9" s="3"/>
      <c r="J9" s="3"/>
      <c r="K9" s="3"/>
      <c r="L9" s="3">
        <v>2000</v>
      </c>
      <c r="M9" s="3"/>
      <c r="N9" s="3">
        <f t="shared" si="0"/>
        <v>14452.36</v>
      </c>
      <c r="O9" s="7"/>
    </row>
    <row r="10" spans="1:15" x14ac:dyDescent="0.25">
      <c r="A10" s="6" t="s">
        <v>22</v>
      </c>
      <c r="B10" s="3">
        <f t="shared" ref="B10:M10" si="1">SUM(B3:B9)</f>
        <v>1638.81</v>
      </c>
      <c r="C10" s="3">
        <f t="shared" si="1"/>
        <v>6054.4165000000003</v>
      </c>
      <c r="D10" s="3">
        <f t="shared" si="1"/>
        <v>6851.7049999999999</v>
      </c>
      <c r="E10" s="3">
        <f t="shared" si="1"/>
        <v>11504.435000000001</v>
      </c>
      <c r="F10" s="3">
        <f t="shared" si="1"/>
        <v>4231.4170000000004</v>
      </c>
      <c r="G10" s="3">
        <f t="shared" si="1"/>
        <v>3001.6349999999998</v>
      </c>
      <c r="H10" s="3">
        <f t="shared" si="1"/>
        <v>2519.2004999999999</v>
      </c>
      <c r="I10" s="3">
        <f t="shared" si="1"/>
        <v>3504.5969999999998</v>
      </c>
      <c r="J10" s="3">
        <f t="shared" si="1"/>
        <v>2035.48</v>
      </c>
      <c r="K10" s="3">
        <f t="shared" si="1"/>
        <v>2091.77</v>
      </c>
      <c r="L10" s="3">
        <f t="shared" si="1"/>
        <v>7326.0409999999993</v>
      </c>
      <c r="M10" s="3">
        <f t="shared" si="1"/>
        <v>1180.4680000000001</v>
      </c>
      <c r="N10" s="3">
        <f t="shared" ref="N10" si="2">SUM(B10:M10)</f>
        <v>51939.975000000006</v>
      </c>
      <c r="O10" s="7"/>
    </row>
    <row r="11" spans="1:15" x14ac:dyDescent="0.25">
      <c r="A11" s="5" t="s">
        <v>23</v>
      </c>
      <c r="B11" s="15">
        <v>0</v>
      </c>
      <c r="C11" s="15">
        <f>3284.36*2</f>
        <v>6568.72</v>
      </c>
      <c r="D11" s="15">
        <v>0</v>
      </c>
      <c r="E11" s="15">
        <f>3284.36*2 +800</f>
        <v>7368.72</v>
      </c>
      <c r="F11" s="15">
        <v>0</v>
      </c>
      <c r="G11" s="15">
        <v>0</v>
      </c>
      <c r="H11" s="15">
        <f>3284.36+400</f>
        <v>3684.36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8">
        <f>SUM(B11:M11)</f>
        <v>17621.8</v>
      </c>
      <c r="O11" s="4"/>
    </row>
    <row r="12" spans="1:15" x14ac:dyDescent="0.25">
      <c r="A12" s="5" t="s">
        <v>24</v>
      </c>
      <c r="B12" s="15">
        <v>1022.2222222222222</v>
      </c>
      <c r="C12" s="15">
        <v>481.48148148148152</v>
      </c>
      <c r="D12" s="15">
        <v>1333.3333333333333</v>
      </c>
      <c r="E12" s="15">
        <v>566.66999999999996</v>
      </c>
      <c r="F12" s="15">
        <v>1992.5951851851848</v>
      </c>
      <c r="G12" s="15">
        <v>392.59259259259255</v>
      </c>
      <c r="H12" s="15">
        <v>907.40740740740739</v>
      </c>
      <c r="I12" s="15">
        <v>2785.1851851851843</v>
      </c>
      <c r="J12" s="15">
        <v>51.851851851851848</v>
      </c>
      <c r="K12" s="15">
        <v>1888.8888888888887</v>
      </c>
      <c r="L12" s="15">
        <v>1211.1111111111106</v>
      </c>
      <c r="M12" s="15">
        <v>607.40740740740705</v>
      </c>
      <c r="N12" s="8">
        <f>SUM(B12:M12)</f>
        <v>13240.746666666664</v>
      </c>
      <c r="O12" s="4"/>
    </row>
    <row r="13" spans="1:15" x14ac:dyDescent="0.25">
      <c r="A13" s="5" t="s">
        <v>25</v>
      </c>
      <c r="B13" s="3">
        <f>B10-B11-B12</f>
        <v>616.58777777777777</v>
      </c>
      <c r="C13" s="3">
        <f t="shared" ref="C13:N13" si="3">C10-C11-C12</f>
        <v>-995.78498148148151</v>
      </c>
      <c r="D13" s="3">
        <f t="shared" si="3"/>
        <v>5518.3716666666669</v>
      </c>
      <c r="E13" s="3">
        <f t="shared" si="3"/>
        <v>3569.045000000001</v>
      </c>
      <c r="F13" s="3">
        <f t="shared" si="3"/>
        <v>2238.8218148148153</v>
      </c>
      <c r="G13" s="3">
        <f t="shared" si="3"/>
        <v>2609.0424074074072</v>
      </c>
      <c r="H13" s="3">
        <f t="shared" si="3"/>
        <v>-2072.5669074074076</v>
      </c>
      <c r="I13" s="3">
        <f t="shared" si="3"/>
        <v>719.41181481481544</v>
      </c>
      <c r="J13" s="3">
        <f t="shared" si="3"/>
        <v>1983.6281481481483</v>
      </c>
      <c r="K13" s="3">
        <f t="shared" si="3"/>
        <v>202.8811111111113</v>
      </c>
      <c r="L13" s="3">
        <f t="shared" si="3"/>
        <v>6114.9298888888889</v>
      </c>
      <c r="M13" s="3">
        <f t="shared" si="3"/>
        <v>573.06059259259303</v>
      </c>
      <c r="N13" s="3">
        <f t="shared" si="3"/>
        <v>21077.428333333337</v>
      </c>
      <c r="O13" s="7"/>
    </row>
    <row r="14" spans="1:1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N44"/>
  <sheetViews>
    <sheetView tabSelected="1" topLeftCell="D24" workbookViewId="0">
      <selection activeCell="L30" sqref="L30"/>
    </sheetView>
  </sheetViews>
  <sheetFormatPr defaultRowHeight="15" x14ac:dyDescent="0.25"/>
  <cols>
    <col min="1" max="1" width="51" bestFit="1" customWidth="1"/>
    <col min="2" max="2" width="12.7109375" customWidth="1"/>
    <col min="3" max="3" width="15" bestFit="1" customWidth="1"/>
    <col min="4" max="13" width="12.7109375" customWidth="1"/>
    <col min="14" max="14" width="12.140625" customWidth="1"/>
  </cols>
  <sheetData>
    <row r="1" spans="1:14" x14ac:dyDescent="0.25">
      <c r="A1" t="s">
        <v>45</v>
      </c>
      <c r="F1" s="4"/>
    </row>
    <row r="2" spans="1:14" ht="16.5" customHeight="1" x14ac:dyDescent="0.25">
      <c r="A2" s="1" t="s">
        <v>1</v>
      </c>
      <c r="B2" s="1" t="s">
        <v>26</v>
      </c>
      <c r="C2" s="1" t="s">
        <v>27</v>
      </c>
      <c r="D2" s="1" t="s">
        <v>28</v>
      </c>
      <c r="E2" s="16" t="s">
        <v>29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2" t="s">
        <v>30</v>
      </c>
    </row>
    <row r="3" spans="1:14" x14ac:dyDescent="0.25">
      <c r="A3" s="5" t="s">
        <v>15</v>
      </c>
      <c r="B3" s="3"/>
      <c r="C3" s="3"/>
      <c r="D3" s="3"/>
      <c r="E3" s="3"/>
      <c r="F3" s="15" t="s">
        <v>31</v>
      </c>
      <c r="G3" s="15" t="s">
        <v>31</v>
      </c>
      <c r="H3" s="15" t="s">
        <v>31</v>
      </c>
      <c r="I3" s="15" t="s">
        <v>31</v>
      </c>
      <c r="J3" s="15" t="s">
        <v>31</v>
      </c>
      <c r="K3" s="15" t="s">
        <v>31</v>
      </c>
      <c r="L3" s="15" t="s">
        <v>31</v>
      </c>
      <c r="M3" s="15" t="s">
        <v>31</v>
      </c>
      <c r="N3" s="3">
        <f t="shared" ref="N3:N7" si="0">SUM(B3:M3)</f>
        <v>0</v>
      </c>
    </row>
    <row r="4" spans="1:14" x14ac:dyDescent="0.25">
      <c r="A4" s="5" t="s">
        <v>16</v>
      </c>
      <c r="B4" s="3"/>
      <c r="C4" s="3"/>
      <c r="D4" s="3"/>
      <c r="E4" s="3"/>
      <c r="F4" s="15" t="s">
        <v>31</v>
      </c>
      <c r="G4" s="15" t="s">
        <v>31</v>
      </c>
      <c r="H4" s="15" t="s">
        <v>31</v>
      </c>
      <c r="I4" s="15" t="s">
        <v>31</v>
      </c>
      <c r="J4" s="15" t="s">
        <v>31</v>
      </c>
      <c r="K4" s="15" t="s">
        <v>31</v>
      </c>
      <c r="L4" s="15" t="s">
        <v>31</v>
      </c>
      <c r="M4" s="15" t="s">
        <v>31</v>
      </c>
      <c r="N4" s="3">
        <f t="shared" si="0"/>
        <v>0</v>
      </c>
    </row>
    <row r="5" spans="1:14" x14ac:dyDescent="0.25">
      <c r="A5" s="5" t="s">
        <v>17</v>
      </c>
      <c r="B5" s="9">
        <v>1481.03</v>
      </c>
      <c r="C5" s="9">
        <v>459.8</v>
      </c>
      <c r="D5" s="9">
        <v>600.21</v>
      </c>
      <c r="E5" s="9">
        <v>1009.12</v>
      </c>
      <c r="F5" s="15">
        <v>489.69</v>
      </c>
      <c r="G5" s="15">
        <v>879.87</v>
      </c>
      <c r="H5" s="15">
        <v>1682.78</v>
      </c>
      <c r="I5" s="15">
        <v>1710.16</v>
      </c>
      <c r="J5" s="15">
        <v>875.48</v>
      </c>
      <c r="K5" s="15">
        <v>0</v>
      </c>
      <c r="L5" s="15">
        <v>0</v>
      </c>
      <c r="M5" s="15">
        <v>484.33</v>
      </c>
      <c r="N5" s="3">
        <f t="shared" si="0"/>
        <v>9672.4699999999993</v>
      </c>
    </row>
    <row r="6" spans="1:14" x14ac:dyDescent="0.25">
      <c r="A6" s="5" t="s">
        <v>18</v>
      </c>
      <c r="B6" s="9"/>
      <c r="C6" s="9"/>
      <c r="D6" s="9"/>
      <c r="E6" s="9"/>
      <c r="F6" s="15">
        <v>733.95</v>
      </c>
      <c r="G6" s="15">
        <v>0</v>
      </c>
      <c r="H6" s="15"/>
      <c r="I6" s="15"/>
      <c r="J6" s="15">
        <v>366.97</v>
      </c>
      <c r="K6" s="15"/>
      <c r="L6" s="15"/>
      <c r="M6" s="15"/>
      <c r="N6" s="3">
        <f t="shared" si="0"/>
        <v>1100.92</v>
      </c>
    </row>
    <row r="7" spans="1:14" x14ac:dyDescent="0.25">
      <c r="A7" s="5" t="s">
        <v>19</v>
      </c>
      <c r="B7" s="9">
        <v>807.84</v>
      </c>
      <c r="C7" s="9">
        <v>0</v>
      </c>
      <c r="D7" s="9">
        <v>4087.69</v>
      </c>
      <c r="E7" s="9">
        <v>431.2</v>
      </c>
      <c r="F7" s="15">
        <v>431.2</v>
      </c>
      <c r="G7" s="15">
        <v>431.2</v>
      </c>
      <c r="H7" s="15">
        <v>0</v>
      </c>
      <c r="I7" s="15">
        <v>431.2</v>
      </c>
      <c r="J7" s="15">
        <v>792</v>
      </c>
      <c r="K7" s="15">
        <v>0</v>
      </c>
      <c r="L7" s="15">
        <v>0</v>
      </c>
      <c r="M7" s="15">
        <v>0</v>
      </c>
      <c r="N7" s="3">
        <f t="shared" si="0"/>
        <v>7412.329999999999</v>
      </c>
    </row>
    <row r="8" spans="1:14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13" t="s">
        <v>32</v>
      </c>
      <c r="B9" s="11">
        <f>SUM(B3:B8)</f>
        <v>2288.87</v>
      </c>
      <c r="C9" s="11">
        <f t="shared" ref="C9:N9" si="1">SUM(C3:C8)</f>
        <v>459.8</v>
      </c>
      <c r="D9" s="11">
        <f t="shared" si="1"/>
        <v>4687.8999999999996</v>
      </c>
      <c r="E9" s="11">
        <f t="shared" si="1"/>
        <v>1440.32</v>
      </c>
      <c r="F9" s="11">
        <f t="shared" si="1"/>
        <v>1654.8400000000001</v>
      </c>
      <c r="G9" s="11">
        <f t="shared" si="1"/>
        <v>1311.07</v>
      </c>
      <c r="H9" s="11">
        <f t="shared" si="1"/>
        <v>1682.78</v>
      </c>
      <c r="I9" s="11">
        <f t="shared" si="1"/>
        <v>2141.36</v>
      </c>
      <c r="J9" s="11">
        <f t="shared" si="1"/>
        <v>2034.45</v>
      </c>
      <c r="K9" s="11">
        <f t="shared" si="1"/>
        <v>0</v>
      </c>
      <c r="L9" s="11">
        <f t="shared" si="1"/>
        <v>0</v>
      </c>
      <c r="M9" s="11">
        <f t="shared" si="1"/>
        <v>484.33</v>
      </c>
      <c r="N9" s="11">
        <f t="shared" si="1"/>
        <v>18185.719999999998</v>
      </c>
    </row>
    <row r="10" spans="1:14" x14ac:dyDescent="0.25">
      <c r="A10" s="17" t="s">
        <v>33</v>
      </c>
      <c r="B10" s="18">
        <v>0</v>
      </c>
      <c r="C10" s="18">
        <f>3284.36*2</f>
        <v>6568.72</v>
      </c>
      <c r="D10" s="18">
        <v>0</v>
      </c>
      <c r="E10" s="18">
        <f>3284.36*2 +800</f>
        <v>7368.72</v>
      </c>
      <c r="F10" s="18">
        <v>0</v>
      </c>
      <c r="G10" s="18">
        <v>0</v>
      </c>
      <c r="H10" s="18">
        <f>3284.36+400</f>
        <v>3684.36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f>SUM(B10:M10)</f>
        <v>17621.8</v>
      </c>
    </row>
    <row r="11" spans="1:14" x14ac:dyDescent="0.25">
      <c r="A11" s="17" t="s">
        <v>34</v>
      </c>
      <c r="B11" s="18">
        <v>1022.2222222222222</v>
      </c>
      <c r="C11" s="18">
        <v>481.48148148148152</v>
      </c>
      <c r="D11" s="18">
        <v>1333.3333333333333</v>
      </c>
      <c r="E11" s="18">
        <v>566.66999999999996</v>
      </c>
      <c r="F11" s="18">
        <v>1992.5951851851848</v>
      </c>
      <c r="G11" s="18">
        <v>392.59259259259255</v>
      </c>
      <c r="H11" s="18">
        <v>907.40740740740739</v>
      </c>
      <c r="I11" s="18">
        <v>2785.1851851851843</v>
      </c>
      <c r="J11" s="18">
        <v>51.851851851851848</v>
      </c>
      <c r="K11" s="18">
        <v>1888.8888888888887</v>
      </c>
      <c r="L11" s="18">
        <v>1211.1111111111106</v>
      </c>
      <c r="M11" s="18">
        <v>607.40740740740705</v>
      </c>
      <c r="N11" s="18">
        <f>SUM(B11:M11)</f>
        <v>13240.746666666664</v>
      </c>
    </row>
    <row r="12" spans="1:14" s="12" customFormat="1" x14ac:dyDescent="0.25">
      <c r="A12" s="19" t="s">
        <v>35</v>
      </c>
      <c r="B12" s="20">
        <f>SUM(B9:B11)</f>
        <v>3311.0922222222221</v>
      </c>
      <c r="C12" s="20">
        <f>SUM(C9:C11)</f>
        <v>7510.0014814814822</v>
      </c>
      <c r="D12" s="20">
        <f>SUM(D9:D11)</f>
        <v>6021.2333333333327</v>
      </c>
      <c r="E12" s="20">
        <f>SUM(E9:E11)</f>
        <v>9375.7100000000009</v>
      </c>
      <c r="F12" s="20">
        <f ca="1">SUM(F9:F16)</f>
        <v>25183.105555555558</v>
      </c>
      <c r="G12" s="20">
        <f t="shared" ref="G12:M12" si="2">SUM(G9:G11)</f>
        <v>1703.6625925925925</v>
      </c>
      <c r="H12" s="20">
        <f t="shared" si="2"/>
        <v>6274.5474074074082</v>
      </c>
      <c r="I12" s="20">
        <f t="shared" si="2"/>
        <v>4926.5451851851849</v>
      </c>
      <c r="J12" s="20">
        <f t="shared" si="2"/>
        <v>2086.301851851852</v>
      </c>
      <c r="K12" s="20">
        <f t="shared" si="2"/>
        <v>1888.8888888888887</v>
      </c>
      <c r="L12" s="20">
        <f t="shared" si="2"/>
        <v>1211.1111111111106</v>
      </c>
      <c r="M12" s="20">
        <f t="shared" si="2"/>
        <v>1091.7374074074071</v>
      </c>
      <c r="N12" s="20">
        <f t="shared" ref="N12" ca="1" si="3">SUM(B12:M12)</f>
        <v>49048.26666666667</v>
      </c>
    </row>
    <row r="13" spans="1:14" x14ac:dyDescent="0.25">
      <c r="A13" s="6" t="s">
        <v>36</v>
      </c>
      <c r="B13" s="9">
        <f>449.2+179.88</f>
        <v>629.07999999999993</v>
      </c>
      <c r="C13" s="9">
        <f>459.8+181.02</f>
        <v>640.82000000000005</v>
      </c>
      <c r="D13" s="9">
        <f>790.43+724.66</f>
        <v>1515.09</v>
      </c>
      <c r="E13" s="9">
        <f>3602.36+637.23</f>
        <v>4239.59</v>
      </c>
      <c r="F13" s="15">
        <f>3578.05+2050.3+1492.05</f>
        <v>7120.4000000000005</v>
      </c>
      <c r="G13" s="15">
        <v>556.84</v>
      </c>
      <c r="H13" s="15">
        <f>709.62+356.51</f>
        <v>1066.1300000000001</v>
      </c>
      <c r="I13" s="15">
        <f>352.54+4369.49</f>
        <v>4722.03</v>
      </c>
      <c r="J13" s="15">
        <v>1104.49</v>
      </c>
      <c r="K13" s="15">
        <f>419.38+476.64</f>
        <v>896.02</v>
      </c>
      <c r="L13" s="15">
        <f>10.51+486.64</f>
        <v>497.15</v>
      </c>
      <c r="M13" s="15">
        <f>1698.36+6332.23</f>
        <v>8030.5899999999992</v>
      </c>
      <c r="N13" s="14">
        <f>SUM(B13:M13)</f>
        <v>31018.230000000003</v>
      </c>
    </row>
    <row r="14" spans="1:14" x14ac:dyDescent="0.25">
      <c r="A14" s="5" t="s">
        <v>37</v>
      </c>
      <c r="B14" s="11">
        <f t="shared" ref="B14:N14" si="4">SUM(B12:B13)</f>
        <v>3940.172222222222</v>
      </c>
      <c r="C14" s="11">
        <f t="shared" si="4"/>
        <v>8150.8214814814819</v>
      </c>
      <c r="D14" s="11">
        <f t="shared" si="4"/>
        <v>7536.3233333333328</v>
      </c>
      <c r="E14" s="11">
        <f t="shared" si="4"/>
        <v>13615.300000000001</v>
      </c>
      <c r="F14" s="11">
        <f t="shared" ca="1" si="4"/>
        <v>32303.505555555559</v>
      </c>
      <c r="G14" s="11">
        <f t="shared" si="4"/>
        <v>2260.5025925925925</v>
      </c>
      <c r="H14" s="11">
        <f t="shared" si="4"/>
        <v>7340.6774074074083</v>
      </c>
      <c r="I14" s="11">
        <f t="shared" si="4"/>
        <v>9648.5751851851855</v>
      </c>
      <c r="J14" s="11">
        <f t="shared" si="4"/>
        <v>3190.7918518518518</v>
      </c>
      <c r="K14" s="11">
        <f t="shared" si="4"/>
        <v>2784.9088888888887</v>
      </c>
      <c r="L14" s="11">
        <f t="shared" si="4"/>
        <v>1708.2611111111105</v>
      </c>
      <c r="M14" s="11">
        <f t="shared" si="4"/>
        <v>9122.327407407407</v>
      </c>
      <c r="N14" s="11">
        <f t="shared" ca="1" si="4"/>
        <v>80066.496666666673</v>
      </c>
    </row>
    <row r="15" spans="1:14" ht="11.25" customHeight="1" x14ac:dyDescent="0.25"/>
    <row r="16" spans="1:14" x14ac:dyDescent="0.25">
      <c r="A16" s="12"/>
    </row>
    <row r="18" spans="1:14" x14ac:dyDescent="0.25">
      <c r="A18" t="s">
        <v>38</v>
      </c>
    </row>
    <row r="19" spans="1:14" ht="16.5" customHeight="1" x14ac:dyDescent="0.25">
      <c r="A19" s="1" t="s">
        <v>1</v>
      </c>
      <c r="B19" s="1" t="s">
        <v>26</v>
      </c>
      <c r="C19" s="1" t="s">
        <v>27</v>
      </c>
      <c r="D19" s="1" t="s">
        <v>28</v>
      </c>
      <c r="E19" s="16" t="s">
        <v>29</v>
      </c>
      <c r="F19" s="10" t="s">
        <v>39</v>
      </c>
      <c r="G19" s="10" t="s">
        <v>7</v>
      </c>
      <c r="H19" s="10" t="s">
        <v>8</v>
      </c>
      <c r="I19" s="10" t="s">
        <v>9</v>
      </c>
      <c r="J19" s="10" t="s">
        <v>10</v>
      </c>
      <c r="K19" s="10" t="s">
        <v>11</v>
      </c>
      <c r="L19" s="10" t="s">
        <v>12</v>
      </c>
      <c r="M19" s="10" t="s">
        <v>13</v>
      </c>
      <c r="N19" s="2" t="s">
        <v>30</v>
      </c>
    </row>
    <row r="20" spans="1:14" x14ac:dyDescent="0.25">
      <c r="A20" s="17" t="s">
        <v>15</v>
      </c>
      <c r="B20" s="3"/>
      <c r="C20" s="3"/>
      <c r="D20" s="3"/>
      <c r="E20" s="3"/>
      <c r="F20" s="3" t="s">
        <v>31</v>
      </c>
      <c r="G20" s="3" t="s">
        <v>31</v>
      </c>
      <c r="H20" s="3" t="s">
        <v>31</v>
      </c>
      <c r="I20" s="3" t="s">
        <v>31</v>
      </c>
      <c r="J20" s="15" t="s">
        <v>31</v>
      </c>
      <c r="K20" s="15" t="s">
        <v>31</v>
      </c>
      <c r="L20" s="15" t="s">
        <v>31</v>
      </c>
      <c r="M20" s="15" t="s">
        <v>31</v>
      </c>
      <c r="N20" s="3">
        <f t="shared" ref="N20:N24" si="5">SUM(B20:M20)</f>
        <v>0</v>
      </c>
    </row>
    <row r="21" spans="1:14" x14ac:dyDescent="0.25">
      <c r="A21" s="17" t="s">
        <v>16</v>
      </c>
      <c r="B21" s="3"/>
      <c r="C21" s="3"/>
      <c r="D21" s="3"/>
      <c r="E21" s="3"/>
      <c r="F21" s="3" t="s">
        <v>31</v>
      </c>
      <c r="G21" s="3" t="s">
        <v>31</v>
      </c>
      <c r="H21" s="3" t="s">
        <v>31</v>
      </c>
      <c r="I21" s="3" t="s">
        <v>31</v>
      </c>
      <c r="J21" s="15" t="s">
        <v>31</v>
      </c>
      <c r="K21" s="15" t="s">
        <v>31</v>
      </c>
      <c r="L21" s="15" t="s">
        <v>31</v>
      </c>
      <c r="M21" s="15" t="s">
        <v>31</v>
      </c>
      <c r="N21" s="3">
        <f t="shared" si="5"/>
        <v>0</v>
      </c>
    </row>
    <row r="22" spans="1:14" x14ac:dyDescent="0.25">
      <c r="A22" s="17" t="s">
        <v>17</v>
      </c>
      <c r="B22" s="9">
        <v>1481.03</v>
      </c>
      <c r="C22" s="9">
        <v>459.8</v>
      </c>
      <c r="D22" s="9">
        <v>600.21</v>
      </c>
      <c r="E22" s="9">
        <v>1009.12</v>
      </c>
      <c r="F22" s="23">
        <v>491.82</v>
      </c>
      <c r="G22" s="3">
        <v>883.69050000000004</v>
      </c>
      <c r="H22" s="3">
        <v>1571.1</v>
      </c>
      <c r="I22" s="3">
        <v>175.42</v>
      </c>
      <c r="J22" s="3">
        <v>200.88</v>
      </c>
      <c r="K22" s="3">
        <v>0</v>
      </c>
      <c r="L22" s="3">
        <v>749</v>
      </c>
      <c r="M22" s="15">
        <v>484.33</v>
      </c>
      <c r="N22" s="3">
        <f t="shared" si="5"/>
        <v>8106.4005000000006</v>
      </c>
    </row>
    <row r="23" spans="1:14" x14ac:dyDescent="0.25">
      <c r="A23" s="17" t="s">
        <v>18</v>
      </c>
      <c r="B23" s="9"/>
      <c r="C23" s="9"/>
      <c r="D23" s="9"/>
      <c r="E23" s="9"/>
      <c r="F23" s="23">
        <v>742.52336448598123</v>
      </c>
      <c r="G23" s="3">
        <v>0</v>
      </c>
      <c r="H23" s="3"/>
      <c r="I23" s="3"/>
      <c r="J23" s="3">
        <v>409.69</v>
      </c>
      <c r="K23" s="3"/>
      <c r="L23" s="3"/>
      <c r="M23" s="15"/>
      <c r="N23" s="3">
        <f t="shared" si="5"/>
        <v>1152.2133644859812</v>
      </c>
    </row>
    <row r="24" spans="1:14" x14ac:dyDescent="0.25">
      <c r="A24" s="17" t="s">
        <v>19</v>
      </c>
      <c r="B24" s="9">
        <v>807.84</v>
      </c>
      <c r="C24" s="9">
        <v>0</v>
      </c>
      <c r="D24" s="9">
        <v>4087.69</v>
      </c>
      <c r="E24" s="9">
        <v>431.2</v>
      </c>
      <c r="F24" s="3">
        <v>0</v>
      </c>
      <c r="G24" s="22">
        <v>431.2</v>
      </c>
      <c r="H24" s="3">
        <v>0</v>
      </c>
      <c r="I24" s="3">
        <v>419.63</v>
      </c>
      <c r="J24" s="3">
        <v>776.89</v>
      </c>
      <c r="K24" s="3">
        <v>0</v>
      </c>
      <c r="L24" s="3">
        <v>0</v>
      </c>
      <c r="M24" s="15">
        <v>0</v>
      </c>
      <c r="N24" s="3">
        <f t="shared" si="5"/>
        <v>6954.45</v>
      </c>
    </row>
    <row r="25" spans="1:14" x14ac:dyDescent="0.25">
      <c r="A25" s="17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21" t="s">
        <v>32</v>
      </c>
      <c r="B26" s="11">
        <f>SUM(B20:B25)</f>
        <v>2288.87</v>
      </c>
      <c r="C26" s="11">
        <f t="shared" ref="C26:N26" si="6">SUM(C20:C25)</f>
        <v>459.8</v>
      </c>
      <c r="D26" s="11">
        <f t="shared" si="6"/>
        <v>4687.8999999999996</v>
      </c>
      <c r="E26" s="11">
        <f t="shared" si="6"/>
        <v>1440.32</v>
      </c>
      <c r="F26" s="11">
        <f t="shared" si="6"/>
        <v>1234.3433644859813</v>
      </c>
      <c r="G26" s="11">
        <f t="shared" si="6"/>
        <v>1314.8905</v>
      </c>
      <c r="H26" s="11">
        <f t="shared" si="6"/>
        <v>1571.1</v>
      </c>
      <c r="I26" s="11">
        <f t="shared" si="6"/>
        <v>595.04999999999995</v>
      </c>
      <c r="J26" s="11">
        <f t="shared" si="6"/>
        <v>1387.46</v>
      </c>
      <c r="K26" s="11">
        <f t="shared" si="6"/>
        <v>0</v>
      </c>
      <c r="L26" s="11">
        <f t="shared" si="6"/>
        <v>749</v>
      </c>
      <c r="M26" s="11">
        <f t="shared" si="6"/>
        <v>484.33</v>
      </c>
      <c r="N26" s="11">
        <f t="shared" si="6"/>
        <v>16213.063864485983</v>
      </c>
    </row>
    <row r="27" spans="1:14" x14ac:dyDescent="0.25">
      <c r="A27" s="17" t="s">
        <v>41</v>
      </c>
      <c r="B27" s="18"/>
      <c r="C27" s="18"/>
      <c r="D27" s="18">
        <v>6249.12</v>
      </c>
      <c r="E27" s="18">
        <v>6568.72</v>
      </c>
      <c r="F27" s="18">
        <v>0</v>
      </c>
      <c r="G27" s="18">
        <v>0</v>
      </c>
      <c r="H27" s="18">
        <v>0</v>
      </c>
      <c r="I27" s="18"/>
      <c r="J27" s="18"/>
      <c r="K27" s="18"/>
      <c r="L27" s="18"/>
      <c r="M27" s="18"/>
      <c r="N27" s="18">
        <f>SUM(B27:M27)</f>
        <v>12817.84</v>
      </c>
    </row>
    <row r="28" spans="1:14" x14ac:dyDescent="0.25">
      <c r="A28" s="17" t="s">
        <v>42</v>
      </c>
      <c r="B28" s="18"/>
      <c r="C28" s="18"/>
      <c r="D28" s="18">
        <v>1088.9000000000001</v>
      </c>
      <c r="E28" s="18">
        <v>940.45</v>
      </c>
      <c r="F28" s="18">
        <v>2133.35</v>
      </c>
      <c r="G28" s="18">
        <v>392.58</v>
      </c>
      <c r="H28" s="18">
        <v>922.22</v>
      </c>
      <c r="I28" s="18">
        <v>2237.04</v>
      </c>
      <c r="J28" s="18">
        <v>533.34</v>
      </c>
      <c r="K28" s="18"/>
      <c r="L28" s="18"/>
      <c r="M28" s="18"/>
      <c r="N28" s="18">
        <f>SUM(B28:M28)</f>
        <v>8247.8799999999992</v>
      </c>
    </row>
    <row r="29" spans="1:14" x14ac:dyDescent="0.25">
      <c r="A29" s="6" t="s">
        <v>36</v>
      </c>
      <c r="B29" s="9">
        <f>449.2+179.88</f>
        <v>629.07999999999993</v>
      </c>
      <c r="C29" s="9">
        <f>459.8+181.02</f>
        <v>640.82000000000005</v>
      </c>
      <c r="D29" s="9">
        <f>790.43+724.66</f>
        <v>1515.09</v>
      </c>
      <c r="E29" s="9">
        <f>3602.36+637.23</f>
        <v>4239.59</v>
      </c>
      <c r="F29" s="3">
        <f>838.2484</f>
        <v>838.24839999999995</v>
      </c>
      <c r="G29" s="3">
        <f>1150.51720498206+1037.9556</f>
        <v>2188.4728049820601</v>
      </c>
      <c r="H29" s="3">
        <f>462.88+290.1</f>
        <v>752.98</v>
      </c>
      <c r="I29" s="3">
        <f>619.99+583.57</f>
        <v>1203.56</v>
      </c>
      <c r="J29" s="3">
        <f>1778.31+4444.72</f>
        <v>6223.0300000000007</v>
      </c>
      <c r="K29" s="3">
        <f>454.04</f>
        <v>454.04</v>
      </c>
      <c r="L29" s="3">
        <f>979.37+4193.61</f>
        <v>5172.9799999999996</v>
      </c>
      <c r="M29" s="15">
        <f>1698.36+6332.23</f>
        <v>8030.5899999999992</v>
      </c>
      <c r="N29" s="14">
        <f>SUM(B29:M29)</f>
        <v>31888.481204982061</v>
      </c>
    </row>
    <row r="30" spans="1:14" x14ac:dyDescent="0.25">
      <c r="A30" s="5" t="s">
        <v>37</v>
      </c>
      <c r="B30" s="11">
        <f t="shared" ref="B30:N30" si="7">SUM(B26:B29)</f>
        <v>2917.95</v>
      </c>
      <c r="C30" s="11">
        <f t="shared" si="7"/>
        <v>1100.6200000000001</v>
      </c>
      <c r="D30" s="11">
        <f t="shared" si="7"/>
        <v>13541.01</v>
      </c>
      <c r="E30" s="11">
        <f t="shared" si="7"/>
        <v>13189.08</v>
      </c>
      <c r="F30" s="11">
        <f t="shared" si="7"/>
        <v>4205.9417644859805</v>
      </c>
      <c r="G30" s="11">
        <f t="shared" si="7"/>
        <v>3895.94330498206</v>
      </c>
      <c r="H30" s="11">
        <f t="shared" si="7"/>
        <v>3246.2999999999997</v>
      </c>
      <c r="I30" s="11">
        <f t="shared" si="7"/>
        <v>4035.65</v>
      </c>
      <c r="J30" s="11">
        <f t="shared" si="7"/>
        <v>8143.8300000000008</v>
      </c>
      <c r="K30" s="11">
        <f t="shared" si="7"/>
        <v>454.04</v>
      </c>
      <c r="L30" s="11">
        <f t="shared" si="7"/>
        <v>5921.98</v>
      </c>
      <c r="M30" s="11">
        <f t="shared" si="7"/>
        <v>8514.92</v>
      </c>
      <c r="N30" s="11">
        <f t="shared" si="7"/>
        <v>69167.265069468034</v>
      </c>
    </row>
    <row r="32" spans="1:14" x14ac:dyDescent="0.25">
      <c r="A32" s="12" t="s">
        <v>40</v>
      </c>
    </row>
    <row r="33" spans="1:14" x14ac:dyDescent="0.25">
      <c r="A33" s="1" t="s">
        <v>1</v>
      </c>
      <c r="B33" s="1" t="s">
        <v>26</v>
      </c>
      <c r="C33" s="1" t="s">
        <v>27</v>
      </c>
      <c r="D33" s="1" t="s">
        <v>28</v>
      </c>
      <c r="E33" s="16" t="s">
        <v>29</v>
      </c>
      <c r="F33" s="10" t="s">
        <v>39</v>
      </c>
      <c r="G33" s="10" t="s">
        <v>7</v>
      </c>
      <c r="H33" s="10" t="s">
        <v>8</v>
      </c>
      <c r="I33" s="10" t="s">
        <v>9</v>
      </c>
      <c r="J33" s="10" t="s">
        <v>10</v>
      </c>
      <c r="K33" s="10" t="s">
        <v>11</v>
      </c>
      <c r="L33" s="10" t="s">
        <v>12</v>
      </c>
      <c r="M33" s="10" t="s">
        <v>13</v>
      </c>
      <c r="N33" s="2" t="s">
        <v>30</v>
      </c>
    </row>
    <row r="34" spans="1:14" x14ac:dyDescent="0.25">
      <c r="A34" s="17" t="s">
        <v>15</v>
      </c>
      <c r="B34" s="3"/>
      <c r="C34" s="3"/>
      <c r="D34" s="3"/>
      <c r="E34" s="3"/>
      <c r="F34" s="3" t="s">
        <v>31</v>
      </c>
      <c r="G34" s="3" t="s">
        <v>31</v>
      </c>
      <c r="H34" s="3" t="s">
        <v>31</v>
      </c>
      <c r="I34" s="15" t="s">
        <v>31</v>
      </c>
      <c r="J34" s="15" t="s">
        <v>31</v>
      </c>
      <c r="K34" s="15" t="s">
        <v>31</v>
      </c>
      <c r="L34" s="15" t="s">
        <v>31</v>
      </c>
      <c r="M34" s="15" t="s">
        <v>31</v>
      </c>
      <c r="N34" s="3">
        <f t="shared" ref="N34:N38" si="8">SUM(B34:M34)</f>
        <v>0</v>
      </c>
    </row>
    <row r="35" spans="1:14" x14ac:dyDescent="0.25">
      <c r="A35" s="17" t="s">
        <v>16</v>
      </c>
      <c r="B35" s="3"/>
      <c r="C35" s="3"/>
      <c r="D35" s="3"/>
      <c r="E35" s="3"/>
      <c r="F35" s="3" t="s">
        <v>31</v>
      </c>
      <c r="G35" s="3" t="s">
        <v>31</v>
      </c>
      <c r="H35" s="3" t="s">
        <v>31</v>
      </c>
      <c r="I35" s="15" t="s">
        <v>31</v>
      </c>
      <c r="J35" s="15" t="s">
        <v>31</v>
      </c>
      <c r="K35" s="15" t="s">
        <v>31</v>
      </c>
      <c r="L35" s="15" t="s">
        <v>31</v>
      </c>
      <c r="M35" s="15" t="s">
        <v>31</v>
      </c>
      <c r="N35" s="3">
        <f t="shared" si="8"/>
        <v>0</v>
      </c>
    </row>
    <row r="36" spans="1:14" x14ac:dyDescent="0.25">
      <c r="A36" s="17" t="s">
        <v>17</v>
      </c>
      <c r="B36" s="9">
        <f>B22-B5</f>
        <v>0</v>
      </c>
      <c r="C36" s="9">
        <f t="shared" ref="C36:E36" si="9">C22-C5</f>
        <v>0</v>
      </c>
      <c r="D36" s="9">
        <f t="shared" si="9"/>
        <v>0</v>
      </c>
      <c r="E36" s="9">
        <f t="shared" si="9"/>
        <v>0</v>
      </c>
      <c r="F36" s="24">
        <f t="shared" ref="F36:M37" si="10">F22-F5</f>
        <v>2.1299999999999955</v>
      </c>
      <c r="G36" s="24">
        <f t="shared" si="10"/>
        <v>3.8205000000000382</v>
      </c>
      <c r="H36" s="24">
        <f t="shared" si="10"/>
        <v>-111.68000000000006</v>
      </c>
      <c r="I36" s="23">
        <f t="shared" si="10"/>
        <v>-1534.74</v>
      </c>
      <c r="J36" s="23">
        <f t="shared" si="10"/>
        <v>-674.6</v>
      </c>
      <c r="K36" s="23">
        <f t="shared" si="10"/>
        <v>0</v>
      </c>
      <c r="L36" s="23">
        <f t="shared" si="10"/>
        <v>749</v>
      </c>
      <c r="M36" s="23">
        <f t="shared" si="10"/>
        <v>0</v>
      </c>
      <c r="N36" s="3">
        <f t="shared" si="8"/>
        <v>-1566.0695000000001</v>
      </c>
    </row>
    <row r="37" spans="1:14" x14ac:dyDescent="0.25">
      <c r="A37" s="17" t="s">
        <v>18</v>
      </c>
      <c r="B37" s="9">
        <f t="shared" ref="B37:E40" si="11">B23-B6</f>
        <v>0</v>
      </c>
      <c r="C37" s="9">
        <f t="shared" si="11"/>
        <v>0</v>
      </c>
      <c r="D37" s="9">
        <f t="shared" si="11"/>
        <v>0</v>
      </c>
      <c r="E37" s="9">
        <f t="shared" si="11"/>
        <v>0</v>
      </c>
      <c r="F37" s="24">
        <f t="shared" si="10"/>
        <v>8.5733644859811875</v>
      </c>
      <c r="G37" s="24">
        <f t="shared" si="10"/>
        <v>0</v>
      </c>
      <c r="H37" s="24">
        <f t="shared" si="10"/>
        <v>0</v>
      </c>
      <c r="I37" s="23">
        <f t="shared" si="10"/>
        <v>0</v>
      </c>
      <c r="J37" s="23">
        <f t="shared" si="10"/>
        <v>42.71999999999997</v>
      </c>
      <c r="K37" s="23">
        <f t="shared" si="10"/>
        <v>0</v>
      </c>
      <c r="L37" s="23">
        <f t="shared" si="10"/>
        <v>0</v>
      </c>
      <c r="M37" s="23">
        <f t="shared" si="10"/>
        <v>0</v>
      </c>
      <c r="N37" s="3">
        <f t="shared" si="8"/>
        <v>51.293364485981158</v>
      </c>
    </row>
    <row r="38" spans="1:14" x14ac:dyDescent="0.25">
      <c r="A38" s="17" t="s">
        <v>19</v>
      </c>
      <c r="B38" s="9">
        <f t="shared" si="11"/>
        <v>0</v>
      </c>
      <c r="C38" s="9">
        <f t="shared" si="11"/>
        <v>0</v>
      </c>
      <c r="D38" s="9">
        <f t="shared" si="11"/>
        <v>0</v>
      </c>
      <c r="E38" s="9">
        <f t="shared" si="11"/>
        <v>0</v>
      </c>
      <c r="F38" s="24">
        <f>F24-F7</f>
        <v>-431.2</v>
      </c>
      <c r="G38" s="24">
        <f t="shared" ref="G38:M38" si="12">G24-G7</f>
        <v>0</v>
      </c>
      <c r="H38" s="24">
        <f t="shared" si="12"/>
        <v>0</v>
      </c>
      <c r="I38" s="23">
        <f t="shared" si="12"/>
        <v>-11.569999999999993</v>
      </c>
      <c r="J38" s="23">
        <f t="shared" si="12"/>
        <v>-15.110000000000014</v>
      </c>
      <c r="K38" s="23">
        <f t="shared" si="12"/>
        <v>0</v>
      </c>
      <c r="L38" s="23">
        <f t="shared" si="12"/>
        <v>0</v>
      </c>
      <c r="M38" s="23">
        <f t="shared" si="12"/>
        <v>0</v>
      </c>
      <c r="N38" s="3">
        <f t="shared" si="8"/>
        <v>-457.88</v>
      </c>
    </row>
    <row r="39" spans="1:14" x14ac:dyDescent="0.25">
      <c r="A39" s="17" t="s">
        <v>20</v>
      </c>
      <c r="B39" s="9">
        <f t="shared" si="11"/>
        <v>0</v>
      </c>
      <c r="C39" s="9">
        <f t="shared" si="11"/>
        <v>0</v>
      </c>
      <c r="D39" s="9">
        <f t="shared" si="11"/>
        <v>0</v>
      </c>
      <c r="E39" s="9">
        <f t="shared" si="11"/>
        <v>0</v>
      </c>
      <c r="F39" s="24">
        <f>F25-F8</f>
        <v>0</v>
      </c>
      <c r="G39" s="24">
        <f t="shared" ref="G39:M39" si="13">G25-G8</f>
        <v>0</v>
      </c>
      <c r="H39" s="24">
        <f t="shared" si="13"/>
        <v>0</v>
      </c>
      <c r="I39" s="23">
        <f t="shared" si="13"/>
        <v>0</v>
      </c>
      <c r="J39" s="23">
        <f t="shared" si="13"/>
        <v>0</v>
      </c>
      <c r="K39" s="23">
        <f t="shared" si="13"/>
        <v>0</v>
      </c>
      <c r="L39" s="23">
        <f t="shared" si="13"/>
        <v>0</v>
      </c>
      <c r="M39" s="23">
        <f t="shared" si="13"/>
        <v>0</v>
      </c>
      <c r="N39" s="3"/>
    </row>
    <row r="40" spans="1:14" x14ac:dyDescent="0.25">
      <c r="A40" s="21" t="s">
        <v>32</v>
      </c>
      <c r="B40" s="9">
        <f t="shared" si="11"/>
        <v>0</v>
      </c>
      <c r="C40" s="9">
        <f t="shared" si="11"/>
        <v>0</v>
      </c>
      <c r="D40" s="9">
        <f t="shared" si="11"/>
        <v>0</v>
      </c>
      <c r="E40" s="9">
        <f t="shared" si="11"/>
        <v>0</v>
      </c>
      <c r="F40" s="24">
        <f>F26-F9</f>
        <v>-420.49663551401886</v>
      </c>
      <c r="G40" s="24">
        <f t="shared" ref="G40:M40" si="14">G26-G9</f>
        <v>3.8205000000000382</v>
      </c>
      <c r="H40" s="24">
        <f t="shared" si="14"/>
        <v>-111.68000000000006</v>
      </c>
      <c r="I40" s="23">
        <f t="shared" si="14"/>
        <v>-1546.3100000000002</v>
      </c>
      <c r="J40" s="23">
        <f t="shared" si="14"/>
        <v>-646.99</v>
      </c>
      <c r="K40" s="23">
        <f t="shared" si="14"/>
        <v>0</v>
      </c>
      <c r="L40" s="23">
        <f t="shared" si="14"/>
        <v>749</v>
      </c>
      <c r="M40" s="23">
        <f t="shared" si="14"/>
        <v>0</v>
      </c>
      <c r="N40" s="11">
        <f>SUM(N34:N39)</f>
        <v>-1972.6561355140188</v>
      </c>
    </row>
    <row r="41" spans="1:14" x14ac:dyDescent="0.25">
      <c r="A41" s="17" t="s">
        <v>43</v>
      </c>
      <c r="B41" s="18"/>
      <c r="C41" s="18"/>
      <c r="D41" s="18">
        <f>D27-C10</f>
        <v>-319.60000000000036</v>
      </c>
      <c r="E41" s="18">
        <f t="shared" ref="E41:M41" si="15">E27-D10</f>
        <v>6568.72</v>
      </c>
      <c r="F41" s="25">
        <f t="shared" si="15"/>
        <v>-7368.72</v>
      </c>
      <c r="G41" s="25">
        <f t="shared" si="15"/>
        <v>0</v>
      </c>
      <c r="H41" s="25">
        <f t="shared" si="15"/>
        <v>0</v>
      </c>
      <c r="I41" s="18">
        <f t="shared" si="15"/>
        <v>-3684.36</v>
      </c>
      <c r="J41" s="18">
        <f t="shared" si="15"/>
        <v>0</v>
      </c>
      <c r="K41" s="18">
        <f t="shared" si="15"/>
        <v>0</v>
      </c>
      <c r="L41" s="18">
        <f t="shared" si="15"/>
        <v>0</v>
      </c>
      <c r="M41" s="18">
        <f t="shared" si="15"/>
        <v>0</v>
      </c>
      <c r="N41" s="18">
        <f>SUM(B41:M41)</f>
        <v>-4803.9600000000009</v>
      </c>
    </row>
    <row r="42" spans="1:14" x14ac:dyDescent="0.25">
      <c r="A42" s="17" t="s">
        <v>44</v>
      </c>
      <c r="B42" s="18"/>
      <c r="C42" s="18"/>
      <c r="D42" s="18">
        <f>D28-D11</f>
        <v>-244.43333333333317</v>
      </c>
      <c r="E42" s="18">
        <f t="shared" ref="E42:M42" si="16">E28-E11</f>
        <v>373.78000000000009</v>
      </c>
      <c r="F42" s="25">
        <f t="shared" si="16"/>
        <v>140.75481481481506</v>
      </c>
      <c r="G42" s="25">
        <f t="shared" si="16"/>
        <v>-1.2592592592568508E-2</v>
      </c>
      <c r="H42" s="25">
        <f t="shared" si="16"/>
        <v>14.812592592592637</v>
      </c>
      <c r="I42" s="18">
        <f t="shared" si="16"/>
        <v>-548.14518518518435</v>
      </c>
      <c r="J42" s="18">
        <f t="shared" si="16"/>
        <v>481.48814814814818</v>
      </c>
      <c r="K42" s="18">
        <f t="shared" si="16"/>
        <v>-1888.8888888888887</v>
      </c>
      <c r="L42" s="18">
        <f t="shared" si="16"/>
        <v>-1211.1111111111106</v>
      </c>
      <c r="M42" s="18">
        <f t="shared" si="16"/>
        <v>-607.40740740740705</v>
      </c>
      <c r="N42" s="18">
        <f>SUM(B42:M42)</f>
        <v>-3489.1629629629606</v>
      </c>
    </row>
    <row r="43" spans="1:14" x14ac:dyDescent="0.25">
      <c r="A43" s="6" t="s">
        <v>36</v>
      </c>
      <c r="B43" s="9">
        <f>B29-B13</f>
        <v>0</v>
      </c>
      <c r="C43" s="9">
        <f t="shared" ref="C43:M43" si="17">C29-C13</f>
        <v>0</v>
      </c>
      <c r="D43" s="9">
        <f t="shared" si="17"/>
        <v>0</v>
      </c>
      <c r="E43" s="9">
        <f t="shared" si="17"/>
        <v>0</v>
      </c>
      <c r="F43" s="26">
        <f t="shared" si="17"/>
        <v>-6282.1516000000011</v>
      </c>
      <c r="G43" s="26">
        <f t="shared" si="17"/>
        <v>1631.63280498206</v>
      </c>
      <c r="H43" s="26">
        <f t="shared" si="17"/>
        <v>-313.15000000000009</v>
      </c>
      <c r="I43" s="9">
        <f t="shared" si="17"/>
        <v>-3518.47</v>
      </c>
      <c r="J43" s="9">
        <f t="shared" si="17"/>
        <v>5118.5400000000009</v>
      </c>
      <c r="K43" s="9">
        <f t="shared" si="17"/>
        <v>-441.97999999999996</v>
      </c>
      <c r="L43" s="9">
        <f t="shared" si="17"/>
        <v>4675.83</v>
      </c>
      <c r="M43" s="9">
        <f t="shared" si="17"/>
        <v>0</v>
      </c>
      <c r="N43" s="14">
        <f>SUM(B43:M43)</f>
        <v>870.25120498206115</v>
      </c>
    </row>
    <row r="44" spans="1:14" x14ac:dyDescent="0.25">
      <c r="A44" s="5" t="s">
        <v>37</v>
      </c>
      <c r="B44" s="11">
        <f>B30-B14</f>
        <v>-1022.2222222222222</v>
      </c>
      <c r="C44" s="11">
        <f t="shared" ref="C44:M44" si="18">C30-C14</f>
        <v>-7050.201481481482</v>
      </c>
      <c r="D44" s="11">
        <f t="shared" si="18"/>
        <v>6004.6866666666674</v>
      </c>
      <c r="E44" s="11">
        <f t="shared" si="18"/>
        <v>-426.22000000000116</v>
      </c>
      <c r="F44" s="25">
        <f t="shared" ca="1" si="18"/>
        <v>-1022.2222222222222</v>
      </c>
      <c r="G44" s="25">
        <f t="shared" si="18"/>
        <v>1635.4407123894675</v>
      </c>
      <c r="H44" s="25">
        <f t="shared" si="18"/>
        <v>-4094.3774074074086</v>
      </c>
      <c r="I44" s="11">
        <f t="shared" si="18"/>
        <v>-5612.9251851851859</v>
      </c>
      <c r="J44" s="11">
        <f t="shared" si="18"/>
        <v>4953.038148148149</v>
      </c>
      <c r="K44" s="11">
        <f t="shared" si="18"/>
        <v>-2330.8688888888887</v>
      </c>
      <c r="L44" s="11">
        <f t="shared" si="18"/>
        <v>4213.7188888888886</v>
      </c>
      <c r="M44" s="11">
        <f t="shared" si="18"/>
        <v>-607.40740740740694</v>
      </c>
      <c r="N44" s="11">
        <f>SUM(N40:N43)</f>
        <v>-9395.5278934949183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2A880F-D1EC-4A7C-A447-F176270ADFD1}">
  <ds:schemaRefs>
    <ds:schemaRef ds:uri="aea9ea73-34d9-45e8-acbb-0ab804ccd4f6"/>
    <ds:schemaRef ds:uri="http://schemas.microsoft.com/office/2006/metadata/properties"/>
    <ds:schemaRef ds:uri="5ca6415a-0c97-4c39-b3bb-ffce26572dd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 comparison</vt:lpstr>
      <vt:lpstr>2020 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sgyyso</dc:creator>
  <cp:keywords/>
  <dc:description/>
  <cp:lastModifiedBy>HuaZhen Luo</cp:lastModifiedBy>
  <cp:revision/>
  <dcterms:created xsi:type="dcterms:W3CDTF">2019-05-29T08:49:28Z</dcterms:created>
  <dcterms:modified xsi:type="dcterms:W3CDTF">2020-12-24T01:33:15Z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