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0" documentId="8_{54831E27-3610-4F9A-AEA6-CB30AE53BB65}" xr6:coauthVersionLast="44" xr6:coauthVersionMax="44" xr10:uidLastSave="{00000000-0000-0000-0000-000000000000}"/>
  <bookViews>
    <workbookView xWindow="-120" yWindow="-120" windowWidth="20730" windowHeight="11160" activeTab="1" xr2:uid="{CE076554-A435-4462-B117-A7481F72E406}"/>
  </bookViews>
  <sheets>
    <sheet name="2019-2020 comparison" sheetId="1" r:id="rId1"/>
    <sheet name="2020 estim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3" i="2" l="1"/>
  <c r="H12" i="2"/>
  <c r="E12" i="2"/>
  <c r="C12" i="2"/>
  <c r="J11" i="2"/>
  <c r="J14" i="2" s="1"/>
  <c r="E10" i="2"/>
  <c r="D10" i="2"/>
  <c r="N10" i="2" s="1"/>
  <c r="L7" i="2"/>
  <c r="K7" i="2"/>
  <c r="I7" i="2"/>
  <c r="H7" i="2"/>
  <c r="G7" i="2"/>
  <c r="F7" i="2"/>
  <c r="E7" i="2"/>
  <c r="D7" i="2"/>
  <c r="N7" i="2" s="1"/>
  <c r="C7" i="2"/>
  <c r="M5" i="2"/>
  <c r="M11" i="2" s="1"/>
  <c r="M14" i="2" s="1"/>
  <c r="L5" i="2"/>
  <c r="K5" i="2"/>
  <c r="K11" i="2" s="1"/>
  <c r="K14" i="2" s="1"/>
  <c r="I5" i="2"/>
  <c r="I11" i="2" s="1"/>
  <c r="I14" i="2" s="1"/>
  <c r="H5" i="2"/>
  <c r="G5" i="2"/>
  <c r="G11" i="2" s="1"/>
  <c r="G14" i="2" s="1"/>
  <c r="F5" i="2"/>
  <c r="F11" i="2" s="1"/>
  <c r="F14" i="2" s="1"/>
  <c r="E5" i="2"/>
  <c r="E11" i="2" s="1"/>
  <c r="E14" i="2" s="1"/>
  <c r="D5" i="2"/>
  <c r="C5" i="2"/>
  <c r="B5" i="2"/>
  <c r="B11" i="2" s="1"/>
  <c r="B14" i="2" s="1"/>
  <c r="N3" i="2"/>
  <c r="D11" i="2" l="1"/>
  <c r="D14" i="2" s="1"/>
  <c r="N12" i="2"/>
  <c r="L11" i="2"/>
  <c r="L14" i="2" s="1"/>
  <c r="H11" i="2"/>
  <c r="H14" i="2" s="1"/>
  <c r="N5" i="2"/>
  <c r="C11" i="2"/>
  <c r="C14" i="2" s="1"/>
  <c r="N12" i="1"/>
  <c r="N11" i="1"/>
  <c r="H11" i="1"/>
  <c r="E11" i="1"/>
  <c r="C11" i="1"/>
  <c r="D9" i="1"/>
  <c r="N11" i="2" l="1"/>
  <c r="N14" i="2" s="1"/>
  <c r="L7" i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6D5AFCB2-FF72-4080-BADF-32896C668547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206DC8D0-895E-42FA-8CA4-384282DF92CD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10" authorId="2" shapeId="0" xr:uid="{7FCBBD3A-2A24-47F6-9627-AB023913DEA2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10" authorId="2" shapeId="0" xr:uid="{1BB5E6E9-8C97-4403-BC9C-33C84AC14D7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10" authorId="2" shapeId="0" xr:uid="{4C28F097-2E90-4DF1-9477-3D2E31E44F0E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10" authorId="2" shapeId="0" xr:uid="{349A04DE-ECA2-4043-AF33-B7F121109D1E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C12" authorId="0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2" authorId="0" shapeId="0" xr:uid="{2644928F-7A0A-42CE-9672-1AD45C5C24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2" authorId="0" shapeId="0" xr:uid="{289169EB-E1FC-4C14-8099-72C0DE69814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3" authorId="3" shapeId="0" xr:uid="{64F002E4-52F3-425D-BDD3-4D6DD3822EAE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sharedStrings.xml><?xml version="1.0" encoding="utf-8"?>
<sst xmlns="http://schemas.openxmlformats.org/spreadsheetml/2006/main" count="53" uniqueCount="31">
  <si>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</si>
  <si>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</si>
  <si>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</si>
  <si>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</si>
  <si>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</si>
  <si>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</si>
  <si>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</si>
  <si>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</si>
  <si>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</si>
  <si>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</si>
  <si>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</si>
  <si>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</si>
  <si>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</si>
  <si>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</si>
  <si>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</si>
  <si>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Flex</t>
  </si>
  <si>
    <t>Calibration $ to Venture</t>
  </si>
  <si>
    <t>Calibration $ to Supplier directly</t>
  </si>
  <si>
    <t>To include autopack</t>
  </si>
  <si>
    <t>Calibration $ to CEI PCBA</t>
  </si>
  <si>
    <t>Calibration $ to Flex PCBA</t>
  </si>
  <si>
    <t>Calibration $ to Venture PCBA</t>
  </si>
  <si>
    <t>Calibration contract (Calibration) estimated</t>
  </si>
  <si>
    <t>Calibration contract (GTS) estimated</t>
  </si>
  <si>
    <t>Calibration from other vendors estimated</t>
  </si>
  <si>
    <t xml:space="preserve">Total Actual calibration in 2019 (Excluding parts/adhoc) </t>
  </si>
  <si>
    <t>Adhoc calibration</t>
  </si>
  <si>
    <t>Jan(Act)</t>
  </si>
  <si>
    <t>Feb(Act)</t>
  </si>
  <si>
    <t>Mar(Act)</t>
  </si>
  <si>
    <t>Apr(Act)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</si>
</sst>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0" fontId="0" fillId="5" borderId="0" xfId="0" applyFill="1" applyAlignment="1">
      <alignment horizontal="left"/>
    </xf>
    <xf numFmtId="44" fontId="9" fillId="3" borderId="0" xfId="0" applyNumberFormat="1" applyFont="1" applyFill="1"/>
    <xf numFmtId="44" fontId="9" fillId="0" borderId="0" xfId="0" applyNumberFormat="1" applyFont="1" applyFill="1"/>
    <xf numFmtId="0" fontId="10" fillId="2" borderId="1" xfId="0" applyFont="1" applyFill="1" applyBorder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sqref="A1:XFD1048576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5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9" si="0">SUM(B3:M3)</f>
        <v>590.94000000000005</v>
      </c>
      <c r="O3" s="8"/>
    </row>
    <row r="4" spans="1:15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x14ac:dyDescent="0.25">
      <c r="A5" s="6" t="s">
        <v>15</v>
      </c>
      <c r="B5" s="3">
        <f>577.2*1.05+538.35</f>
        <v>1144.4100000000001</v>
      </c>
      <c r="C5" s="3">
        <f>705.53*1.05+565.48</f>
        <v>1306.2865000000002</v>
      </c>
      <c r="D5" s="3">
        <f>563.1*1.05+209.74</f>
        <v>800.995</v>
      </c>
      <c r="E5" s="3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x14ac:dyDescent="0.25">
      <c r="A6" s="6" t="s">
        <v>20</v>
      </c>
      <c r="B6" s="4"/>
      <c r="C6" s="4"/>
      <c r="D6" s="3">
        <v>481.48</v>
      </c>
      <c r="E6" s="4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x14ac:dyDescent="0.25">
      <c r="A7" s="6" t="s">
        <v>16</v>
      </c>
      <c r="B7" s="3">
        <v>494.4</v>
      </c>
      <c r="C7" s="3">
        <f>240+3324</f>
        <v>3564</v>
      </c>
      <c r="D7" s="3">
        <f>1436+185</f>
        <v>1621</v>
      </c>
      <c r="E7" s="3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x14ac:dyDescent="0.25">
      <c r="A9" s="7" t="s">
        <v>17</v>
      </c>
      <c r="B9" s="4"/>
      <c r="C9" s="4">
        <v>1184.1300000000001</v>
      </c>
      <c r="D9" s="4">
        <f>2105.59+756.82+1085.82</f>
        <v>3948.2300000000005</v>
      </c>
      <c r="E9" s="4">
        <f>7320</f>
        <v>7320</v>
      </c>
      <c r="F9" s="4"/>
      <c r="G9" s="4"/>
      <c r="H9" s="4"/>
      <c r="I9" s="4"/>
      <c r="J9" s="4"/>
      <c r="K9" s="4"/>
      <c r="L9" s="4">
        <v>2000</v>
      </c>
      <c r="M9" s="4"/>
      <c r="N9" s="4">
        <f t="shared" si="0"/>
        <v>14452.36</v>
      </c>
      <c r="O9" s="8"/>
    </row>
    <row r="10" spans="1:15" x14ac:dyDescent="0.25">
      <c r="A10" s="7" t="s">
        <v>25</v>
      </c>
      <c r="B10" s="4">
        <f t="shared" ref="B10:M10" si="1">SUM(B3:B9)</f>
        <v>1638.81</v>
      </c>
      <c r="C10" s="4">
        <f t="shared" si="1"/>
        <v>6054.4165000000003</v>
      </c>
      <c r="D10" s="4">
        <f t="shared" si="1"/>
        <v>6851.7049999999999</v>
      </c>
      <c r="E10" s="4">
        <f t="shared" si="1"/>
        <v>11504.435000000001</v>
      </c>
      <c r="F10" s="4">
        <f t="shared" si="1"/>
        <v>4231.4170000000004</v>
      </c>
      <c r="G10" s="4">
        <f t="shared" si="1"/>
        <v>3001.6349999999998</v>
      </c>
      <c r="H10" s="4">
        <f t="shared" si="1"/>
        <v>2519.2004999999999</v>
      </c>
      <c r="I10" s="4">
        <f t="shared" si="1"/>
        <v>3504.5969999999998</v>
      </c>
      <c r="J10" s="4">
        <f t="shared" si="1"/>
        <v>2035.48</v>
      </c>
      <c r="K10" s="4">
        <f t="shared" si="1"/>
        <v>2091.77</v>
      </c>
      <c r="L10" s="4">
        <f t="shared" si="1"/>
        <v>7326.0409999999993</v>
      </c>
      <c r="M10" s="4">
        <f t="shared" si="1"/>
        <v>1180.4680000000001</v>
      </c>
      <c r="N10" s="4">
        <f t="shared" ref="N10" si="2">SUM(B10:M10)</f>
        <v>51939.975000000006</v>
      </c>
      <c r="O10" s="8"/>
    </row>
    <row r="11" spans="1:15" x14ac:dyDescent="0.25">
      <c r="A11" s="6" t="s">
        <v>23</v>
      </c>
      <c r="B11" s="3">
        <v>0</v>
      </c>
      <c r="C11" s="3">
        <f>3284.36*2</f>
        <v>6568.72</v>
      </c>
      <c r="D11" s="3">
        <v>0</v>
      </c>
      <c r="E11" s="3">
        <f>3284.36*2 +800</f>
        <v>7368.72</v>
      </c>
      <c r="F11" s="3">
        <v>0</v>
      </c>
      <c r="G11" s="3">
        <v>0</v>
      </c>
      <c r="H11" s="3">
        <f>3284.36+400</f>
        <v>3684.36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9">
        <f>SUM(B11:M11)</f>
        <v>17621.8</v>
      </c>
      <c r="O11" s="5"/>
    </row>
    <row r="12" spans="1:15" x14ac:dyDescent="0.25">
      <c r="A12" s="6" t="s">
        <v>22</v>
      </c>
      <c r="B12" s="3">
        <v>1022.2222222222222</v>
      </c>
      <c r="C12" s="3">
        <v>481.48148148148152</v>
      </c>
      <c r="D12" s="3">
        <v>1333.3333333333333</v>
      </c>
      <c r="E12" s="3">
        <v>566.66999999999996</v>
      </c>
      <c r="F12" s="3">
        <v>1992.5951851851848</v>
      </c>
      <c r="G12" s="3">
        <v>392.59259259259255</v>
      </c>
      <c r="H12" s="3">
        <v>907.40740740740739</v>
      </c>
      <c r="I12" s="3">
        <v>2785.1851851851843</v>
      </c>
      <c r="J12" s="3">
        <v>51.851851851851848</v>
      </c>
      <c r="K12" s="3">
        <v>1888.8888888888887</v>
      </c>
      <c r="L12" s="3">
        <v>1211.1111111111106</v>
      </c>
      <c r="M12" s="3">
        <v>607.40740740740705</v>
      </c>
      <c r="N12" s="9">
        <f>SUM(B12:M12)</f>
        <v>13240.746666666664</v>
      </c>
      <c r="O12" s="5"/>
    </row>
    <row r="13" spans="1:15" x14ac:dyDescent="0.25">
      <c r="A13" s="6" t="s">
        <v>24</v>
      </c>
      <c r="B13" s="4">
        <f>B10-B11-B12</f>
        <v>616.58777777777777</v>
      </c>
      <c r="C13" s="4">
        <f t="shared" ref="C13:N13" si="3">C10-C11-C12</f>
        <v>-995.78498148148151</v>
      </c>
      <c r="D13" s="4">
        <f t="shared" si="3"/>
        <v>5518.3716666666669</v>
      </c>
      <c r="E13" s="4">
        <f t="shared" si="3"/>
        <v>3569.045000000001</v>
      </c>
      <c r="F13" s="4">
        <f t="shared" si="3"/>
        <v>2238.8218148148153</v>
      </c>
      <c r="G13" s="4">
        <f t="shared" si="3"/>
        <v>2609.0424074074072</v>
      </c>
      <c r="H13" s="4">
        <f t="shared" si="3"/>
        <v>-2072.5669074074076</v>
      </c>
      <c r="I13" s="4">
        <f t="shared" si="3"/>
        <v>719.41181481481544</v>
      </c>
      <c r="J13" s="4">
        <f t="shared" si="3"/>
        <v>1983.6281481481483</v>
      </c>
      <c r="K13" s="4">
        <f t="shared" si="3"/>
        <v>202.8811111111113</v>
      </c>
      <c r="L13" s="4">
        <f t="shared" si="3"/>
        <v>6114.9298888888889</v>
      </c>
      <c r="M13" s="4">
        <f t="shared" si="3"/>
        <v>573.06059259259303</v>
      </c>
      <c r="N13" s="4">
        <f t="shared" si="3"/>
        <v>21077.428333333337</v>
      </c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5"/>
  <sheetViews>
    <sheetView tabSelected="1" workbookViewId="0">
      <selection activeCell="E7" sqref="E7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2" t="s">
        <v>13</v>
      </c>
    </row>
    <row r="3" spans="1:15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10" si="0">SUM(B3:M3)</f>
        <v>590.94000000000005</v>
      </c>
      <c r="O3" s="8"/>
    </row>
    <row r="4" spans="1:15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x14ac:dyDescent="0.25">
      <c r="A5" s="6" t="s">
        <v>15</v>
      </c>
      <c r="B5" s="11">
        <f>577.2*1.05+538.35</f>
        <v>1144.4100000000001</v>
      </c>
      <c r="C5" s="11">
        <f>705.53*1.05+565.48</f>
        <v>1306.2865000000002</v>
      </c>
      <c r="D5" s="11">
        <f>563.1*1.05+209.74</f>
        <v>800.995</v>
      </c>
      <c r="E5" s="11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x14ac:dyDescent="0.25">
      <c r="A6" s="6" t="s">
        <v>20</v>
      </c>
      <c r="B6" s="12"/>
      <c r="C6" s="12"/>
      <c r="D6" s="11">
        <v>481.48</v>
      </c>
      <c r="E6" s="12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x14ac:dyDescent="0.25">
      <c r="A7" s="6" t="s">
        <v>16</v>
      </c>
      <c r="B7" s="11">
        <v>494.4</v>
      </c>
      <c r="C7" s="11">
        <f>240+3324</f>
        <v>3564</v>
      </c>
      <c r="D7" s="11">
        <f>1436+185</f>
        <v>1621</v>
      </c>
      <c r="E7" s="11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x14ac:dyDescent="0.25">
      <c r="A9" s="10" t="s">
        <v>26</v>
      </c>
      <c r="B9" s="4"/>
      <c r="C9" s="4"/>
      <c r="D9" s="4"/>
      <c r="E9" s="4"/>
      <c r="F9" s="4"/>
      <c r="G9" s="4"/>
      <c r="H9" s="4"/>
      <c r="I9" s="4"/>
      <c r="J9" s="3"/>
      <c r="K9" s="3"/>
      <c r="L9" s="4"/>
      <c r="M9" s="4"/>
      <c r="N9" s="4"/>
      <c r="O9" s="8"/>
    </row>
    <row r="10" spans="1:15" x14ac:dyDescent="0.25">
      <c r="A10" s="7" t="s">
        <v>17</v>
      </c>
      <c r="B10" s="4"/>
      <c r="C10" s="4">
        <v>1184.1300000000001</v>
      </c>
      <c r="D10" s="4">
        <f>2105.59+756.82+1085.82</f>
        <v>3948.2300000000005</v>
      </c>
      <c r="E10" s="4">
        <f>7320</f>
        <v>7320</v>
      </c>
      <c r="F10" s="4"/>
      <c r="G10" s="4"/>
      <c r="H10" s="4"/>
      <c r="I10" s="4"/>
      <c r="J10" s="4"/>
      <c r="K10" s="4"/>
      <c r="L10" s="4">
        <v>2000</v>
      </c>
      <c r="M10" s="4"/>
      <c r="N10" s="4">
        <f t="shared" si="0"/>
        <v>14452.36</v>
      </c>
      <c r="O10" s="8"/>
    </row>
    <row r="11" spans="1:15" x14ac:dyDescent="0.25">
      <c r="A11" s="7" t="s">
        <v>25</v>
      </c>
      <c r="B11" s="4">
        <f>SUM(B3:B10)</f>
        <v>1638.81</v>
      </c>
      <c r="C11" s="4">
        <f>SUM(C3:C10)</f>
        <v>6054.4165000000003</v>
      </c>
      <c r="D11" s="4">
        <f>SUM(D3:D10)</f>
        <v>6851.7049999999999</v>
      </c>
      <c r="E11" s="4">
        <f>SUM(E3:E10)</f>
        <v>11504.435000000001</v>
      </c>
      <c r="F11" s="4">
        <f>SUM(F3:F10)</f>
        <v>4231.4170000000004</v>
      </c>
      <c r="G11" s="4">
        <f>SUM(G3:G10)</f>
        <v>3001.6349999999998</v>
      </c>
      <c r="H11" s="4">
        <f>SUM(H3:H10)</f>
        <v>2519.2004999999999</v>
      </c>
      <c r="I11" s="4">
        <f>SUM(I3:I10)</f>
        <v>3504.5969999999998</v>
      </c>
      <c r="J11" s="4">
        <f>SUM(J3:J10)</f>
        <v>2035.48</v>
      </c>
      <c r="K11" s="4">
        <f>SUM(K3:K10)</f>
        <v>2091.77</v>
      </c>
      <c r="L11" s="4">
        <f>SUM(L3:L10)</f>
        <v>7326.0409999999993</v>
      </c>
      <c r="M11" s="4">
        <f>SUM(M3:M10)</f>
        <v>1180.4680000000001</v>
      </c>
      <c r="N11" s="4">
        <f t="shared" ref="N11" si="1">SUM(B11:M11)</f>
        <v>51939.975000000006</v>
      </c>
      <c r="O11" s="8"/>
    </row>
    <row r="12" spans="1:15" x14ac:dyDescent="0.25">
      <c r="A12" s="6" t="s">
        <v>23</v>
      </c>
      <c r="B12" s="3">
        <v>0</v>
      </c>
      <c r="C12" s="3">
        <f>3284.36*2</f>
        <v>6568.72</v>
      </c>
      <c r="D12" s="3">
        <v>0</v>
      </c>
      <c r="E12" s="3">
        <f>3284.36*2 +800</f>
        <v>7368.72</v>
      </c>
      <c r="F12" s="3">
        <v>0</v>
      </c>
      <c r="G12" s="3">
        <v>0</v>
      </c>
      <c r="H12" s="3">
        <f>3284.36+400</f>
        <v>3684.36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9">
        <f>SUM(B12:M12)</f>
        <v>17621.8</v>
      </c>
      <c r="O12" s="5"/>
    </row>
    <row r="13" spans="1:15" x14ac:dyDescent="0.25">
      <c r="A13" s="6" t="s">
        <v>22</v>
      </c>
      <c r="B13" s="3">
        <v>1022.2222222222222</v>
      </c>
      <c r="C13" s="3">
        <v>481.48148148148152</v>
      </c>
      <c r="D13" s="3">
        <v>1333.3333333333333</v>
      </c>
      <c r="E13" s="3">
        <v>566.66999999999996</v>
      </c>
      <c r="F13" s="3">
        <v>1992.5951851851848</v>
      </c>
      <c r="G13" s="3">
        <v>392.59259259259255</v>
      </c>
      <c r="H13" s="3">
        <v>907.40740740740739</v>
      </c>
      <c r="I13" s="3">
        <v>2785.1851851851843</v>
      </c>
      <c r="J13" s="3">
        <v>51.851851851851848</v>
      </c>
      <c r="K13" s="3">
        <v>1888.8888888888887</v>
      </c>
      <c r="L13" s="3">
        <v>1211.1111111111106</v>
      </c>
      <c r="M13" s="3">
        <v>607.40740740740705</v>
      </c>
      <c r="N13" s="9">
        <f>SUM(B13:M13)</f>
        <v>13240.746666666664</v>
      </c>
      <c r="O13" s="5"/>
    </row>
    <row r="14" spans="1:15" x14ac:dyDescent="0.25">
      <c r="A14" s="6" t="s">
        <v>24</v>
      </c>
      <c r="B14" s="4">
        <f>B11-B12-B13</f>
        <v>616.58777777777777</v>
      </c>
      <c r="C14" s="4">
        <f t="shared" ref="C14:N14" si="2">C11-C12-C13</f>
        <v>-995.78498148148151</v>
      </c>
      <c r="D14" s="4">
        <f t="shared" si="2"/>
        <v>5518.3716666666669</v>
      </c>
      <c r="E14" s="4">
        <f t="shared" si="2"/>
        <v>3569.045000000001</v>
      </c>
      <c r="F14" s="4">
        <f t="shared" si="2"/>
        <v>2238.8218148148153</v>
      </c>
      <c r="G14" s="4">
        <f t="shared" si="2"/>
        <v>2609.0424074074072</v>
      </c>
      <c r="H14" s="4">
        <f t="shared" si="2"/>
        <v>-2072.5669074074076</v>
      </c>
      <c r="I14" s="4">
        <f t="shared" si="2"/>
        <v>719.41181481481544</v>
      </c>
      <c r="J14" s="4">
        <f t="shared" si="2"/>
        <v>1983.6281481481483</v>
      </c>
      <c r="K14" s="4">
        <f t="shared" si="2"/>
        <v>202.8811111111113</v>
      </c>
      <c r="L14" s="4">
        <f t="shared" si="2"/>
        <v>6114.9298888888889</v>
      </c>
      <c r="M14" s="4">
        <f t="shared" si="2"/>
        <v>573.06059259259303</v>
      </c>
      <c r="N14" s="4">
        <f t="shared" si="2"/>
        <v>21077.428333333337</v>
      </c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2A880F-D1EC-4A7C-A447-F176270ADFD1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5ca6415a-0c97-4c39-b3bb-ffce26572dde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aea9ea73-34d9-45e8-acbb-0ab804ccd4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2020-05-08T02:11:11Z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