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omments5.xml" ContentType="application/vnd.openxmlformats-officedocument.spreadsheetml.comment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omments6.xml" ContentType="application/vnd.openxmlformats-officedocument.spreadsheetml.comment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omments7.xml" ContentType="application/vnd.openxmlformats-officedocument.spreadsheetml.comment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sjdedu\Box\WATERS Weekly Engineering Meeting Minutes\WPPL_FLEX MEETING\REVIEW\WEEKLY FPY and ENG'G\MINUTES\Minutes 2021\MAR 2021\03 Mar 2021\"/>
    </mc:Choice>
  </mc:AlternateContent>
  <xr:revisionPtr revIDLastSave="0" documentId="13_ncr:1_{18314840-BAD0-45B3-AF52-51FF1AACCC09}" xr6:coauthVersionLast="45" xr6:coauthVersionMax="45" xr10:uidLastSave="{00000000-0000-0000-0000-000000000000}"/>
  <bookViews>
    <workbookView xWindow="20280" yWindow="-120" windowWidth="29040" windowHeight="15840" tabRatio="878" firstSheet="2" activeTab="2" xr2:uid="{00000000-000D-0000-FFFF-FFFF00000000}"/>
  </bookViews>
  <sheets>
    <sheet name="Weekly SS7 Data" sheetId="3" state="hidden" r:id="rId1"/>
    <sheet name="Sheet2" sheetId="5" state="hidden" r:id="rId2"/>
    <sheet name="Data" sheetId="6" r:id="rId3"/>
    <sheet name="PN per Tester (2)" sheetId="11" state="hidden" r:id="rId4"/>
    <sheet name="Overall" sheetId="18" state="hidden" r:id="rId5"/>
    <sheet name="Before" sheetId="9" state="hidden" r:id="rId6"/>
    <sheet name="After" sheetId="17" state="hidden" r:id="rId7"/>
    <sheet name="Sheet1" sheetId="8" state="hidden" r:id="rId8"/>
    <sheet name="PN per 13 Oct to 17 Nov" sheetId="14" state="hidden" r:id="rId9"/>
    <sheet name="Tester Configuration" sheetId="7" state="hidden" r:id="rId10"/>
    <sheet name="MTR FPY" sheetId="15" state="hidden" r:id="rId11"/>
    <sheet name="EVALS20015" sheetId="16" state="hidden" r:id="rId12"/>
    <sheet name="Shunt Energy" sheetId="12" state="hidden" r:id="rId13"/>
  </sheets>
  <externalReferences>
    <externalReference r:id="rId14"/>
  </externalReferences>
  <definedNames>
    <definedName name="_xlnm.Print_Area" localSheetId="5">Before!$A$1:$H$17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6" i="17" l="1"/>
  <c r="I5" i="17"/>
  <c r="J5" i="17"/>
  <c r="K5" i="17"/>
  <c r="L5" i="17"/>
  <c r="M5" i="17"/>
  <c r="N5" i="17"/>
  <c r="O5" i="17"/>
  <c r="P5" i="17"/>
  <c r="Q5" i="17"/>
  <c r="R5" i="17"/>
  <c r="S5" i="17"/>
  <c r="T5" i="17"/>
  <c r="U5" i="17"/>
  <c r="V5" i="17"/>
  <c r="W5" i="17"/>
  <c r="X5" i="17"/>
  <c r="Y5" i="17"/>
  <c r="Y4" i="17"/>
  <c r="Y3" i="17"/>
  <c r="N8" i="12" l="1"/>
  <c r="N9" i="12"/>
  <c r="N10" i="12"/>
  <c r="N11" i="12"/>
  <c r="N12" i="12"/>
  <c r="N7" i="12"/>
  <c r="D3" i="17"/>
  <c r="I6" i="17" l="1"/>
  <c r="I4" i="17"/>
  <c r="H6" i="17" l="1"/>
  <c r="H6" i="9"/>
  <c r="M19" i="18"/>
  <c r="L19" i="18"/>
  <c r="K19" i="18"/>
  <c r="J19" i="18"/>
  <c r="I19" i="18"/>
  <c r="H19" i="18"/>
  <c r="G19" i="18"/>
  <c r="F19" i="18"/>
  <c r="E19" i="18"/>
  <c r="D19" i="18"/>
  <c r="C19" i="18"/>
  <c r="B19" i="18"/>
  <c r="N18" i="18"/>
  <c r="N17" i="18"/>
  <c r="N16" i="18"/>
  <c r="N15" i="18"/>
  <c r="N14" i="18"/>
  <c r="N13" i="18"/>
  <c r="N12" i="18"/>
  <c r="N11" i="18"/>
  <c r="N19" i="18" s="1"/>
  <c r="N8" i="18"/>
  <c r="I7" i="18"/>
  <c r="N6" i="18"/>
  <c r="M5" i="18"/>
  <c r="M7" i="18" s="1"/>
  <c r="L5" i="18"/>
  <c r="L7" i="18" s="1"/>
  <c r="K5" i="18"/>
  <c r="K7" i="18" s="1"/>
  <c r="S7" i="18" s="1"/>
  <c r="J5" i="18"/>
  <c r="J7" i="18" s="1"/>
  <c r="I5" i="18"/>
  <c r="H5" i="18"/>
  <c r="H7" i="18" s="1"/>
  <c r="R7" i="18" s="1"/>
  <c r="G5" i="18"/>
  <c r="G7" i="18" s="1"/>
  <c r="F5" i="18"/>
  <c r="F7" i="18" s="1"/>
  <c r="E5" i="18"/>
  <c r="E7" i="18" s="1"/>
  <c r="D5" i="18"/>
  <c r="D7" i="18" s="1"/>
  <c r="C5" i="18"/>
  <c r="C7" i="18" s="1"/>
  <c r="Q7" i="18" s="1"/>
  <c r="B5" i="18"/>
  <c r="N5" i="18" s="1"/>
  <c r="G17" i="17"/>
  <c r="G3" i="17" s="1"/>
  <c r="G5" i="17" s="1"/>
  <c r="F17" i="17"/>
  <c r="F3" i="17" s="1"/>
  <c r="F5" i="17" s="1"/>
  <c r="E17" i="17"/>
  <c r="E3" i="17" s="1"/>
  <c r="E5" i="17" s="1"/>
  <c r="D17" i="17"/>
  <c r="D5" i="17" s="1"/>
  <c r="C17" i="17"/>
  <c r="C3" i="17" s="1"/>
  <c r="C5" i="17" s="1"/>
  <c r="B17" i="17"/>
  <c r="B3" i="17" s="1"/>
  <c r="H16" i="17"/>
  <c r="H15" i="17"/>
  <c r="H14" i="17"/>
  <c r="H13" i="17"/>
  <c r="H12" i="17"/>
  <c r="H11" i="17"/>
  <c r="H10" i="17"/>
  <c r="H9" i="17"/>
  <c r="H4" i="17"/>
  <c r="H10" i="9"/>
  <c r="H11" i="9"/>
  <c r="H12" i="9"/>
  <c r="H13" i="9"/>
  <c r="H14" i="9"/>
  <c r="H15" i="9"/>
  <c r="H16" i="9"/>
  <c r="H9" i="9"/>
  <c r="I3" i="17" l="1"/>
  <c r="B7" i="18"/>
  <c r="H17" i="17"/>
  <c r="B5" i="17"/>
  <c r="H3" i="17"/>
  <c r="H5" i="17" s="1"/>
  <c r="N7" i="18"/>
  <c r="T7" i="18"/>
  <c r="C17" i="9"/>
  <c r="C3" i="9" s="1"/>
  <c r="C5" i="9" s="1"/>
  <c r="D17" i="9"/>
  <c r="D3" i="9" s="1"/>
  <c r="D5" i="9" s="1"/>
  <c r="E17" i="9"/>
  <c r="E3" i="9" s="1"/>
  <c r="E5" i="9" s="1"/>
  <c r="F17" i="9"/>
  <c r="F3" i="9" s="1"/>
  <c r="F5" i="9" s="1"/>
  <c r="G17" i="9"/>
  <c r="G3" i="9" s="1"/>
  <c r="G5" i="9" s="1"/>
  <c r="H17" i="9"/>
  <c r="B17" i="9"/>
  <c r="B3" i="9" s="1"/>
  <c r="B5" i="9" s="1"/>
  <c r="H4" i="9"/>
  <c r="H3" i="9" l="1"/>
  <c r="H5" i="9" s="1"/>
  <c r="C5" i="16" l="1"/>
  <c r="C6" i="16" s="1"/>
  <c r="D5" i="16"/>
  <c r="D6" i="16" s="1"/>
  <c r="E5" i="16"/>
  <c r="E6" i="16" s="1"/>
  <c r="F5" i="16"/>
  <c r="F6" i="16" s="1"/>
  <c r="G5" i="16"/>
  <c r="G6" i="16" s="1"/>
  <c r="B5" i="16"/>
  <c r="B6" i="16" s="1"/>
  <c r="H4" i="16"/>
  <c r="H5" i="16" s="1"/>
  <c r="H6" i="16" s="1"/>
  <c r="H3" i="16"/>
  <c r="M15" i="6" l="1"/>
  <c r="M16" i="6"/>
  <c r="M17" i="6"/>
  <c r="M18" i="6"/>
  <c r="M19" i="6"/>
  <c r="M14" i="6"/>
  <c r="M6" i="6"/>
  <c r="M7" i="6"/>
  <c r="M8" i="6"/>
  <c r="M9" i="6"/>
  <c r="M10" i="6"/>
  <c r="M5" i="6"/>
  <c r="M23" i="6" s="1"/>
  <c r="P6" i="6"/>
  <c r="P7" i="6"/>
  <c r="P8" i="6"/>
  <c r="P9" i="6"/>
  <c r="P10" i="6"/>
  <c r="P14" i="6"/>
  <c r="P15" i="6"/>
  <c r="P16" i="6"/>
  <c r="P17" i="6"/>
  <c r="P18" i="6"/>
  <c r="P19" i="6"/>
  <c r="P5" i="6"/>
  <c r="P28" i="6" l="1"/>
  <c r="P24" i="6"/>
  <c r="M27" i="6"/>
  <c r="P23" i="6"/>
  <c r="M25" i="6"/>
  <c r="M26" i="6"/>
  <c r="M28" i="6"/>
  <c r="M24" i="6"/>
  <c r="P26" i="6"/>
  <c r="P25" i="6"/>
  <c r="P27" i="6"/>
  <c r="M5" i="9"/>
  <c r="L5" i="9"/>
  <c r="K5" i="9"/>
  <c r="K6" i="14" l="1"/>
  <c r="F23" i="14"/>
  <c r="F24" i="14" s="1"/>
  <c r="F22" i="14"/>
  <c r="I19" i="14"/>
  <c r="H19" i="14"/>
  <c r="G19" i="14"/>
  <c r="F19" i="14"/>
  <c r="F5" i="14" s="1"/>
  <c r="F7" i="14" s="1"/>
  <c r="O7" i="14" s="1"/>
  <c r="E19" i="14"/>
  <c r="D19" i="14"/>
  <c r="C19" i="14"/>
  <c r="B19" i="14"/>
  <c r="B5" i="14" s="1"/>
  <c r="J18" i="14"/>
  <c r="J17" i="14"/>
  <c r="J16" i="14"/>
  <c r="J15" i="14"/>
  <c r="J14" i="14"/>
  <c r="J13" i="14"/>
  <c r="J12" i="14"/>
  <c r="J11" i="14"/>
  <c r="J10" i="14"/>
  <c r="I10" i="14"/>
  <c r="E10" i="14"/>
  <c r="D10" i="14"/>
  <c r="K9" i="14"/>
  <c r="I8" i="14"/>
  <c r="G8" i="14"/>
  <c r="F8" i="14"/>
  <c r="E8" i="14"/>
  <c r="D8" i="14"/>
  <c r="B8" i="14"/>
  <c r="J6" i="14"/>
  <c r="I5" i="14"/>
  <c r="I7" i="14" s="1"/>
  <c r="H5" i="14"/>
  <c r="H7" i="14" s="1"/>
  <c r="P7" i="14" s="1"/>
  <c r="G5" i="14"/>
  <c r="G7" i="14" s="1"/>
  <c r="E5" i="14"/>
  <c r="E7" i="14" s="1"/>
  <c r="D5" i="14"/>
  <c r="D7" i="14" s="1"/>
  <c r="C5" i="14"/>
  <c r="C7" i="14" s="1"/>
  <c r="N7" i="14" s="1"/>
  <c r="J7" i="14" l="1"/>
  <c r="J5" i="14"/>
  <c r="K5" i="14"/>
  <c r="J8" i="14"/>
  <c r="K8" i="14"/>
  <c r="Q7" i="14"/>
  <c r="B7" i="14"/>
  <c r="K7" i="14" s="1"/>
  <c r="J19" i="14"/>
  <c r="O23" i="6" l="1"/>
  <c r="O24" i="6"/>
  <c r="O25" i="6"/>
  <c r="O26" i="6"/>
  <c r="O27" i="6"/>
  <c r="O28" i="6"/>
  <c r="N11" i="6"/>
  <c r="L20" i="6"/>
  <c r="N20" i="6"/>
  <c r="K11" i="6"/>
  <c r="L11" i="6"/>
  <c r="L26" i="6"/>
  <c r="N26" i="6"/>
  <c r="L27" i="6"/>
  <c r="N27" i="6"/>
  <c r="L28" i="6"/>
  <c r="N28" i="6"/>
  <c r="L25" i="6"/>
  <c r="N25" i="6"/>
  <c r="L24" i="6"/>
  <c r="N24" i="6"/>
  <c r="L23" i="6"/>
  <c r="N23" i="6"/>
  <c r="M11" i="6" l="1"/>
  <c r="N29" i="6"/>
  <c r="N30" i="6" s="1"/>
  <c r="L29" i="6"/>
  <c r="L30" i="6" s="1"/>
  <c r="N32" i="12" l="1"/>
  <c r="M32" i="12"/>
  <c r="L32" i="12"/>
  <c r="K32" i="12"/>
  <c r="J32" i="12"/>
  <c r="I32" i="12"/>
  <c r="H32" i="12"/>
  <c r="G32" i="12"/>
  <c r="F32" i="12"/>
  <c r="E32" i="12"/>
  <c r="D32" i="12"/>
  <c r="C32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N29" i="12"/>
  <c r="M29" i="12"/>
  <c r="L29" i="12"/>
  <c r="K29" i="12"/>
  <c r="J29" i="12"/>
  <c r="I29" i="12"/>
  <c r="H29" i="12"/>
  <c r="G29" i="12"/>
  <c r="F29" i="12"/>
  <c r="E29" i="12"/>
  <c r="D29" i="12"/>
  <c r="C29" i="12"/>
  <c r="N28" i="12"/>
  <c r="M28" i="12"/>
  <c r="L28" i="12"/>
  <c r="K28" i="12"/>
  <c r="J28" i="12"/>
  <c r="I28" i="12"/>
  <c r="H28" i="12"/>
  <c r="G28" i="12"/>
  <c r="F28" i="12"/>
  <c r="E28" i="12"/>
  <c r="D28" i="12"/>
  <c r="C28" i="12"/>
  <c r="N27" i="12"/>
  <c r="M27" i="12"/>
  <c r="L27" i="12"/>
  <c r="K27" i="12"/>
  <c r="J27" i="12"/>
  <c r="I27" i="12"/>
  <c r="H27" i="12"/>
  <c r="G27" i="12"/>
  <c r="F27" i="12"/>
  <c r="E27" i="12"/>
  <c r="D27" i="12"/>
  <c r="C27" i="12"/>
  <c r="N23" i="12"/>
  <c r="M23" i="12"/>
  <c r="L23" i="12"/>
  <c r="K23" i="12"/>
  <c r="J23" i="12"/>
  <c r="I23" i="12"/>
  <c r="H23" i="12"/>
  <c r="G23" i="12"/>
  <c r="F23" i="12"/>
  <c r="E23" i="12"/>
  <c r="D23" i="12"/>
  <c r="C23" i="12"/>
  <c r="N13" i="12"/>
  <c r="M13" i="12"/>
  <c r="L13" i="12"/>
  <c r="K13" i="12"/>
  <c r="J13" i="12"/>
  <c r="I13" i="12"/>
  <c r="H13" i="12"/>
  <c r="G13" i="12"/>
  <c r="F13" i="12"/>
  <c r="E13" i="12"/>
  <c r="D13" i="12"/>
  <c r="C13" i="12"/>
  <c r="C33" i="12" l="1"/>
  <c r="K33" i="12"/>
  <c r="H33" i="12"/>
  <c r="E33" i="12"/>
  <c r="I33" i="12"/>
  <c r="M33" i="12"/>
  <c r="G33" i="12"/>
  <c r="D33" i="12"/>
  <c r="L33" i="12"/>
  <c r="F33" i="12"/>
  <c r="J33" i="12"/>
  <c r="N33" i="12"/>
  <c r="G17" i="11" l="1"/>
  <c r="F17" i="11"/>
  <c r="E17" i="11"/>
  <c r="D17" i="11"/>
  <c r="C17" i="11"/>
  <c r="B17" i="11"/>
  <c r="H16" i="11"/>
  <c r="H15" i="11"/>
  <c r="H14" i="11"/>
  <c r="H13" i="11"/>
  <c r="H12" i="11"/>
  <c r="H11" i="11"/>
  <c r="H10" i="11"/>
  <c r="H9" i="11"/>
  <c r="H8" i="11"/>
  <c r="G8" i="11"/>
  <c r="F8" i="11"/>
  <c r="E8" i="11"/>
  <c r="D8" i="11"/>
  <c r="C8" i="11"/>
  <c r="B8" i="11"/>
  <c r="I7" i="11"/>
  <c r="G6" i="11"/>
  <c r="F6" i="11"/>
  <c r="E6" i="11"/>
  <c r="D6" i="11"/>
  <c r="C6" i="11"/>
  <c r="B6" i="11"/>
  <c r="G5" i="11"/>
  <c r="F5" i="11"/>
  <c r="E5" i="11"/>
  <c r="D5" i="11"/>
  <c r="C5" i="11"/>
  <c r="B5" i="11"/>
  <c r="I5" i="11" s="1"/>
  <c r="I4" i="11"/>
  <c r="H4" i="11"/>
  <c r="H5" i="11" s="1"/>
  <c r="I3" i="11"/>
  <c r="H3" i="11"/>
  <c r="H17" i="11" l="1"/>
  <c r="H6" i="11"/>
  <c r="I6" i="11"/>
  <c r="I11" i="6" l="1"/>
  <c r="J11" i="6"/>
  <c r="O11" i="6"/>
  <c r="P11" i="6" s="1"/>
  <c r="Q11" i="6"/>
  <c r="R11" i="6"/>
  <c r="I28" i="6"/>
  <c r="J28" i="6"/>
  <c r="K28" i="6"/>
  <c r="Q28" i="6"/>
  <c r="R28" i="6"/>
  <c r="I27" i="6"/>
  <c r="J27" i="6"/>
  <c r="K27" i="6"/>
  <c r="Q27" i="6"/>
  <c r="R27" i="6"/>
  <c r="I26" i="6"/>
  <c r="J26" i="6"/>
  <c r="K26" i="6"/>
  <c r="Q26" i="6"/>
  <c r="R26" i="6"/>
  <c r="I25" i="6"/>
  <c r="J25" i="6"/>
  <c r="K25" i="6"/>
  <c r="Q25" i="6"/>
  <c r="R25" i="6"/>
  <c r="I24" i="6"/>
  <c r="J24" i="6"/>
  <c r="K24" i="6"/>
  <c r="Q24" i="6"/>
  <c r="R24" i="6"/>
  <c r="I23" i="6"/>
  <c r="J23" i="6"/>
  <c r="K23" i="6"/>
  <c r="Q23" i="6"/>
  <c r="R23" i="6"/>
  <c r="I20" i="6"/>
  <c r="J20" i="6"/>
  <c r="K20" i="6"/>
  <c r="M20" i="6" s="1"/>
  <c r="M29" i="6" s="1"/>
  <c r="M30" i="6" s="1"/>
  <c r="O20" i="6"/>
  <c r="P20" i="6" s="1"/>
  <c r="P29" i="6" s="1"/>
  <c r="P30" i="6" s="1"/>
  <c r="Q20" i="6"/>
  <c r="R20" i="6"/>
  <c r="R29" i="6" l="1"/>
  <c r="R30" i="6" s="1"/>
  <c r="O29" i="6"/>
  <c r="O30" i="6" s="1"/>
  <c r="Q29" i="6"/>
  <c r="Q30" i="6" s="1"/>
  <c r="K29" i="6"/>
  <c r="K30" i="6" s="1"/>
  <c r="J29" i="6"/>
  <c r="J30" i="6" s="1"/>
  <c r="I29" i="6"/>
  <c r="I30" i="6" s="1"/>
  <c r="AW7" i="6"/>
  <c r="AW6" i="6"/>
  <c r="AW5" i="6"/>
  <c r="AV6" i="6"/>
  <c r="AV8" i="6" s="1"/>
  <c r="AV9" i="6" s="1"/>
  <c r="AW8" i="6" l="1"/>
  <c r="AW9" i="6" s="1"/>
  <c r="N5" i="9"/>
  <c r="H26" i="6"/>
  <c r="H27" i="6"/>
  <c r="AD24" i="6"/>
  <c r="AE24" i="6"/>
  <c r="AF24" i="6"/>
  <c r="AD28" i="6"/>
  <c r="AE28" i="6"/>
  <c r="AF28" i="6"/>
  <c r="AD25" i="6"/>
  <c r="AE25" i="6"/>
  <c r="AF25" i="6"/>
  <c r="AL15" i="6" l="1"/>
  <c r="AL16" i="6"/>
  <c r="AL17" i="6"/>
  <c r="AL18" i="6"/>
  <c r="AL19" i="6"/>
  <c r="AL14" i="6"/>
  <c r="AJ19" i="6"/>
  <c r="AJ18" i="6"/>
  <c r="AJ17" i="6"/>
  <c r="AJ16" i="6"/>
  <c r="AJ15" i="6"/>
  <c r="AJ14" i="6"/>
  <c r="AJ9" i="6"/>
  <c r="AJ8" i="6"/>
  <c r="AJ5" i="6"/>
  <c r="AG28" i="6"/>
  <c r="AH28" i="6"/>
  <c r="AF27" i="6"/>
  <c r="AG27" i="6"/>
  <c r="AH27" i="6"/>
  <c r="AF26" i="6"/>
  <c r="AG26" i="6"/>
  <c r="AH26" i="6"/>
  <c r="AG25" i="6"/>
  <c r="AH25" i="6"/>
  <c r="AG24" i="6"/>
  <c r="AH24" i="6"/>
  <c r="AF23" i="6"/>
  <c r="AG23" i="6"/>
  <c r="AH23" i="6"/>
  <c r="AF11" i="6"/>
  <c r="AG11" i="6"/>
  <c r="AH11" i="6"/>
  <c r="AF20" i="6"/>
  <c r="AG20" i="6"/>
  <c r="AH20" i="6"/>
  <c r="AF29" i="6" l="1"/>
  <c r="AG29" i="6"/>
  <c r="AH29" i="6"/>
  <c r="AI6" i="6"/>
  <c r="AI7" i="6"/>
  <c r="AI8" i="6"/>
  <c r="AI9" i="6"/>
  <c r="AI10" i="6"/>
  <c r="AI5" i="6"/>
  <c r="G23" i="6" l="1"/>
  <c r="AS5" i="6" s="1"/>
  <c r="H23" i="6"/>
  <c r="AU5" i="6" s="1"/>
  <c r="AU8" i="6" s="1"/>
  <c r="AU9" i="6" s="1"/>
  <c r="G24" i="6"/>
  <c r="AR5" i="6" s="1"/>
  <c r="AR8" i="6" s="1"/>
  <c r="AR9" i="6" s="1"/>
  <c r="H24" i="6"/>
  <c r="AT5" i="6" s="1"/>
  <c r="AT8" i="6" s="1"/>
  <c r="AT9" i="6" s="1"/>
  <c r="G25" i="6"/>
  <c r="AR6" i="6" s="1"/>
  <c r="H25" i="6"/>
  <c r="AT6" i="6" s="1"/>
  <c r="G26" i="6"/>
  <c r="AS6" i="6" s="1"/>
  <c r="G27" i="6"/>
  <c r="AS7" i="6" s="1"/>
  <c r="G28" i="6"/>
  <c r="AR7" i="6" s="1"/>
  <c r="H28" i="6"/>
  <c r="AT7" i="6" s="1"/>
  <c r="G20" i="6"/>
  <c r="H20" i="6"/>
  <c r="G11" i="6"/>
  <c r="H11" i="6"/>
  <c r="AS8" i="6" l="1"/>
  <c r="AS9" i="6" s="1"/>
  <c r="H29" i="6"/>
  <c r="H30" i="6" s="1"/>
  <c r="G29" i="6"/>
  <c r="G30" i="6" s="1"/>
  <c r="AE23" i="6"/>
  <c r="AD23" i="6"/>
  <c r="AC23" i="6"/>
  <c r="AB23" i="6"/>
  <c r="AA23" i="6"/>
  <c r="Z23" i="6"/>
  <c r="Y23" i="6"/>
  <c r="X23" i="6"/>
  <c r="W23" i="6"/>
  <c r="V23" i="6"/>
  <c r="U23" i="6"/>
  <c r="AC28" i="6"/>
  <c r="AB28" i="6"/>
  <c r="AA28" i="6"/>
  <c r="Z28" i="6"/>
  <c r="Y28" i="6"/>
  <c r="X28" i="6"/>
  <c r="W28" i="6"/>
  <c r="V28" i="6"/>
  <c r="U28" i="6"/>
  <c r="T28" i="6"/>
  <c r="AE27" i="6"/>
  <c r="AD27" i="6"/>
  <c r="AC27" i="6"/>
  <c r="AB27" i="6"/>
  <c r="AA27" i="6"/>
  <c r="Z27" i="6"/>
  <c r="Y27" i="6"/>
  <c r="X27" i="6"/>
  <c r="W27" i="6"/>
  <c r="V27" i="6"/>
  <c r="U27" i="6"/>
  <c r="T27" i="6"/>
  <c r="AE26" i="6"/>
  <c r="AD26" i="6"/>
  <c r="AC26" i="6"/>
  <c r="AB26" i="6"/>
  <c r="AA26" i="6"/>
  <c r="Z26" i="6"/>
  <c r="Y26" i="6"/>
  <c r="X26" i="6"/>
  <c r="W26" i="6"/>
  <c r="V26" i="6"/>
  <c r="U26" i="6"/>
  <c r="T26" i="6"/>
  <c r="AC25" i="6"/>
  <c r="AB25" i="6"/>
  <c r="AA25" i="6"/>
  <c r="Z25" i="6"/>
  <c r="Y25" i="6"/>
  <c r="X25" i="6"/>
  <c r="W25" i="6"/>
  <c r="V25" i="6"/>
  <c r="U25" i="6"/>
  <c r="T25" i="6"/>
  <c r="AC24" i="6"/>
  <c r="AB24" i="6"/>
  <c r="AA24" i="6"/>
  <c r="Z24" i="6"/>
  <c r="Y24" i="6"/>
  <c r="X24" i="6"/>
  <c r="W24" i="6"/>
  <c r="V24" i="6"/>
  <c r="U24" i="6"/>
  <c r="T24" i="6"/>
  <c r="T23" i="6"/>
  <c r="F23" i="6"/>
  <c r="E23" i="6"/>
  <c r="D23" i="6"/>
  <c r="F28" i="6"/>
  <c r="E28" i="6"/>
  <c r="D28" i="6"/>
  <c r="C28" i="6"/>
  <c r="F27" i="6"/>
  <c r="E27" i="6"/>
  <c r="D27" i="6"/>
  <c r="C27" i="6"/>
  <c r="F26" i="6"/>
  <c r="E26" i="6"/>
  <c r="D26" i="6"/>
  <c r="C26" i="6"/>
  <c r="F25" i="6"/>
  <c r="E25" i="6"/>
  <c r="D25" i="6"/>
  <c r="C25" i="6"/>
  <c r="F24" i="6"/>
  <c r="E24" i="6"/>
  <c r="D24" i="6"/>
  <c r="C24" i="6"/>
  <c r="C23" i="6"/>
  <c r="AE11" i="6" l="1"/>
  <c r="AE20" i="6"/>
  <c r="AE29" i="6" s="1"/>
  <c r="AJ7" i="6"/>
  <c r="AI15" i="6" l="1"/>
  <c r="AK15" i="6" s="1"/>
  <c r="AI16" i="6"/>
  <c r="AK16" i="6" s="1"/>
  <c r="AI17" i="6"/>
  <c r="AK17" i="6" s="1"/>
  <c r="AI18" i="6"/>
  <c r="AK18" i="6" s="1"/>
  <c r="AI19" i="6"/>
  <c r="AK19" i="6" s="1"/>
  <c r="AI14" i="6"/>
  <c r="AK14" i="6" s="1"/>
  <c r="AJ10" i="6"/>
  <c r="AJ6" i="6"/>
  <c r="D20" i="6" l="1"/>
  <c r="E20" i="6"/>
  <c r="F20" i="6"/>
  <c r="C20" i="6"/>
  <c r="D11" i="6"/>
  <c r="E11" i="6"/>
  <c r="F11" i="6"/>
  <c r="C11" i="6"/>
  <c r="C29" i="6" l="1"/>
  <c r="C30" i="6" s="1"/>
  <c r="F29" i="6"/>
  <c r="F30" i="6" s="1"/>
  <c r="E29" i="6"/>
  <c r="E30" i="6" s="1"/>
  <c r="D29" i="6"/>
  <c r="D30" i="6" s="1"/>
  <c r="AM15" i="6"/>
  <c r="AD20" i="6"/>
  <c r="AC20" i="6"/>
  <c r="AB20" i="6"/>
  <c r="AA20" i="6"/>
  <c r="Z20" i="6"/>
  <c r="Y20" i="6"/>
  <c r="X20" i="6"/>
  <c r="W20" i="6"/>
  <c r="V20" i="6"/>
  <c r="U20" i="6"/>
  <c r="T20" i="6"/>
  <c r="AC45" i="6"/>
  <c r="AB45" i="6"/>
  <c r="AA45" i="6"/>
  <c r="Z45" i="6"/>
  <c r="Y45" i="6"/>
  <c r="X45" i="6"/>
  <c r="U45" i="6"/>
  <c r="T45" i="6"/>
  <c r="AD44" i="6"/>
  <c r="X44" i="6"/>
  <c r="W44" i="6"/>
  <c r="V44" i="6"/>
  <c r="U44" i="6"/>
  <c r="AD43" i="6"/>
  <c r="X43" i="6"/>
  <c r="W43" i="6"/>
  <c r="V43" i="6"/>
  <c r="U43" i="6"/>
  <c r="T43" i="6"/>
  <c r="AD42" i="6"/>
  <c r="AC42" i="6"/>
  <c r="X42" i="6"/>
  <c r="W42" i="6"/>
  <c r="V42" i="6"/>
  <c r="U42" i="6"/>
  <c r="T42" i="6"/>
  <c r="AC41" i="6"/>
  <c r="AB41" i="6"/>
  <c r="AA41" i="6"/>
  <c r="Z41" i="6"/>
  <c r="Y41" i="6"/>
  <c r="X41" i="6"/>
  <c r="U41" i="6"/>
  <c r="AD40" i="6"/>
  <c r="AC40" i="6"/>
  <c r="AB40" i="6"/>
  <c r="AA40" i="6"/>
  <c r="Z40" i="6"/>
  <c r="T40" i="6"/>
  <c r="AD11" i="6"/>
  <c r="AC11" i="6"/>
  <c r="AB11" i="6"/>
  <c r="AA11" i="6"/>
  <c r="Z11" i="6"/>
  <c r="Y11" i="6"/>
  <c r="X11" i="6"/>
  <c r="W11" i="6"/>
  <c r="V11" i="6"/>
  <c r="U11" i="6"/>
  <c r="T11" i="6"/>
  <c r="AK5" i="6"/>
  <c r="X29" i="6" l="1"/>
  <c r="AB29" i="6"/>
  <c r="W29" i="6"/>
  <c r="AA29" i="6"/>
  <c r="AL20" i="6"/>
  <c r="T29" i="6"/>
  <c r="U29" i="6"/>
  <c r="Y29" i="6"/>
  <c r="AC29" i="6"/>
  <c r="AI11" i="6"/>
  <c r="AI20" i="6" s="1"/>
  <c r="V29" i="6"/>
  <c r="Z29" i="6"/>
  <c r="AD29" i="6"/>
  <c r="AJ20" i="6"/>
  <c r="AM18" i="6"/>
  <c r="AJ25" i="6"/>
  <c r="AJ23" i="6"/>
  <c r="AM14" i="6"/>
  <c r="AM19" i="6"/>
  <c r="AM16" i="6"/>
  <c r="AJ24" i="6"/>
  <c r="AM17" i="6"/>
  <c r="AJ11" i="6"/>
  <c r="AJ28" i="6"/>
  <c r="AJ26" i="6"/>
  <c r="AJ27" i="6"/>
  <c r="AK10" i="6"/>
  <c r="AK6" i="6"/>
  <c r="AK7" i="6"/>
  <c r="AK8" i="6"/>
  <c r="AK9" i="6"/>
  <c r="L17" i="5"/>
  <c r="L16" i="5"/>
  <c r="L15" i="5"/>
  <c r="L13" i="5"/>
  <c r="K18" i="5"/>
  <c r="K15" i="5"/>
  <c r="K14" i="5"/>
  <c r="K13" i="5"/>
  <c r="J18" i="5"/>
  <c r="J14" i="5"/>
  <c r="J13" i="5"/>
  <c r="I18" i="5"/>
  <c r="I14" i="5"/>
  <c r="N4" i="5"/>
  <c r="I13" i="5"/>
  <c r="H18" i="5"/>
  <c r="H14" i="5"/>
  <c r="AK11" i="6" l="1"/>
  <c r="AK20" i="6"/>
  <c r="AJ29" i="6"/>
  <c r="H13" i="5"/>
  <c r="G18" i="5" l="1"/>
  <c r="G14" i="5"/>
  <c r="F17" i="5"/>
  <c r="F18" i="5"/>
  <c r="F16" i="5"/>
  <c r="F15" i="5"/>
  <c r="F14" i="5"/>
  <c r="E17" i="5"/>
  <c r="E16" i="5"/>
  <c r="E15" i="5"/>
  <c r="D17" i="5"/>
  <c r="D16" i="5"/>
  <c r="D15" i="5"/>
  <c r="C18" i="5"/>
  <c r="C17" i="5"/>
  <c r="C16" i="5"/>
  <c r="C15" i="5"/>
  <c r="C14" i="5"/>
  <c r="B18" i="5"/>
  <c r="B16" i="5"/>
  <c r="B15" i="5"/>
  <c r="B13" i="5"/>
  <c r="L9" i="5"/>
  <c r="K9" i="5"/>
  <c r="J9" i="5"/>
  <c r="I9" i="5"/>
  <c r="H9" i="5"/>
  <c r="G9" i="5"/>
  <c r="F9" i="5"/>
  <c r="E9" i="5"/>
  <c r="D9" i="5"/>
  <c r="C9" i="5"/>
  <c r="B9" i="5"/>
  <c r="N8" i="5"/>
  <c r="M8" i="5"/>
  <c r="O8" i="5" s="1"/>
  <c r="N7" i="5"/>
  <c r="M7" i="5"/>
  <c r="N6" i="5"/>
  <c r="M6" i="5"/>
  <c r="N5" i="5"/>
  <c r="M5" i="5"/>
  <c r="M4" i="5"/>
  <c r="N3" i="5"/>
  <c r="M3" i="5"/>
  <c r="N6" i="3"/>
  <c r="N4" i="3"/>
  <c r="N8" i="3"/>
  <c r="F24" i="3"/>
  <c r="N7" i="3"/>
  <c r="N5" i="3"/>
  <c r="N3" i="3"/>
  <c r="M4" i="3"/>
  <c r="M5" i="3"/>
  <c r="M6" i="3"/>
  <c r="M7" i="3"/>
  <c r="F23" i="3" s="1"/>
  <c r="M8" i="3"/>
  <c r="K9" i="3"/>
  <c r="L9" i="3"/>
  <c r="M3" i="3"/>
  <c r="O8" i="3" l="1"/>
  <c r="O5" i="3"/>
  <c r="M9" i="5"/>
  <c r="O4" i="5"/>
  <c r="O5" i="5"/>
  <c r="O6" i="5"/>
  <c r="O3" i="5"/>
  <c r="O7" i="5"/>
  <c r="N9" i="5"/>
  <c r="O6" i="3"/>
  <c r="D24" i="3"/>
  <c r="G24" i="3"/>
  <c r="O7" i="3"/>
  <c r="E24" i="3"/>
  <c r="N9" i="3"/>
  <c r="O3" i="3"/>
  <c r="B24" i="3"/>
  <c r="O4" i="3"/>
  <c r="C24" i="3"/>
  <c r="F25" i="3"/>
  <c r="E23" i="3"/>
  <c r="E25" i="3" s="1"/>
  <c r="H24" i="3" l="1"/>
  <c r="O9" i="5"/>
  <c r="I9" i="3"/>
  <c r="J9" i="3"/>
  <c r="C23" i="3"/>
  <c r="C25" i="3" s="1"/>
  <c r="D23" i="3"/>
  <c r="D25" i="3" s="1"/>
  <c r="G23" i="3"/>
  <c r="G25" i="3" s="1"/>
  <c r="B23" i="3"/>
  <c r="B25" i="3" s="1"/>
  <c r="G9" i="3" l="1"/>
  <c r="F9" i="3"/>
  <c r="H9" i="3"/>
  <c r="F19" i="3" l="1"/>
  <c r="E19" i="3"/>
  <c r="D19" i="3"/>
  <c r="C19" i="3"/>
  <c r="B19" i="3"/>
  <c r="G18" i="3"/>
  <c r="G16" i="3"/>
  <c r="G15" i="3"/>
  <c r="G14" i="3"/>
  <c r="G13" i="3"/>
  <c r="G12" i="3"/>
  <c r="B9" i="3"/>
  <c r="D9" i="3"/>
  <c r="E9" i="3"/>
  <c r="C9" i="3"/>
  <c r="M9" i="3" l="1"/>
  <c r="G19" i="3"/>
  <c r="H23" i="3" l="1"/>
  <c r="H25" i="3" s="1"/>
  <c r="O9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J1" authorId="0" shapeId="0" xr:uid="{A2AEC71A-5118-47C1-A17F-6AD1701EB588}">
      <text>
        <r>
          <rPr>
            <sz val="12"/>
            <color indexed="81"/>
            <rFont val="Arial"/>
            <family val="2"/>
          </rPr>
          <t>16-Jun-2020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B3" authorId="0" shapeId="0" xr:uid="{6BC24391-2547-4AC2-B8F4-7CD73029125D}">
      <text>
        <r>
          <rPr>
            <b/>
            <sz val="12"/>
            <color indexed="81"/>
            <rFont val="Tahoma"/>
            <family val="2"/>
          </rPr>
          <t>LC-1X</t>
        </r>
      </text>
    </comment>
    <comment ref="H3" authorId="0" shapeId="0" xr:uid="{846A32F2-0679-4520-82FD-4EE0BF74048F}">
      <text>
        <r>
          <rPr>
            <sz val="12"/>
            <color indexed="81"/>
            <rFont val="Tahoma"/>
            <family val="2"/>
          </rPr>
          <t>#8 -4X</t>
        </r>
      </text>
    </comment>
    <comment ref="I3" authorId="0" shapeId="0" xr:uid="{24A711FB-2444-4D0E-A627-462440FA7EB5}">
      <text>
        <r>
          <rPr>
            <b/>
            <sz val="12"/>
            <color indexed="81"/>
            <rFont val="Tahoma"/>
            <family val="2"/>
          </rPr>
          <t>#8 - 4X</t>
        </r>
      </text>
    </comment>
    <comment ref="J3" authorId="0" shapeId="0" xr:uid="{98FCA6C8-3AC4-4405-A0A9-51C6BE540E3B}">
      <text>
        <r>
          <rPr>
            <b/>
            <sz val="12"/>
            <color indexed="81"/>
            <rFont val="Tahoma"/>
            <family val="2"/>
          </rPr>
          <t>#8 - 5X</t>
        </r>
      </text>
    </comment>
    <comment ref="K3" authorId="0" shapeId="0" xr:uid="{7FBBF8D9-801B-4375-8D69-45705C60AE7D}">
      <text>
        <r>
          <rPr>
            <b/>
            <sz val="12"/>
            <color indexed="81"/>
            <rFont val="Tahoma"/>
            <family val="2"/>
          </rPr>
          <t>#8 - 4X</t>
        </r>
      </text>
    </comment>
    <comment ref="L3" authorId="0" shapeId="0" xr:uid="{FB77ED26-22C7-45E7-BB36-68117D3F55C4}">
      <text>
        <r>
          <rPr>
            <b/>
            <sz val="12"/>
            <color indexed="81"/>
            <rFont val="Tahoma"/>
            <family val="2"/>
          </rPr>
          <t>#8 - 1X</t>
        </r>
      </text>
    </comment>
    <comment ref="F4" authorId="0" shapeId="0" xr:uid="{9BCCD0AB-B67E-4FC1-8CB3-83E5DD529DEF}">
      <text>
        <r>
          <rPr>
            <b/>
            <sz val="12"/>
            <color indexed="81"/>
            <rFont val="Tahoma"/>
            <family val="2"/>
          </rPr>
          <t>#9 - 1X</t>
        </r>
      </text>
    </comment>
    <comment ref="H4" authorId="0" shapeId="0" xr:uid="{39959271-B98D-4356-BB9E-8FB1682F1E04}">
      <text>
        <r>
          <rPr>
            <b/>
            <sz val="12"/>
            <color indexed="81"/>
            <rFont val="Tahoma"/>
            <family val="2"/>
          </rPr>
          <t>#9 -3X</t>
        </r>
      </text>
    </comment>
    <comment ref="I4" authorId="0" shapeId="0" xr:uid="{945D7CE2-83D8-434E-ADF9-541D3B94F202}">
      <text>
        <r>
          <rPr>
            <b/>
            <sz val="12"/>
            <color indexed="81"/>
            <rFont val="Tahoma"/>
            <family val="2"/>
          </rPr>
          <t>#9 - 2X</t>
        </r>
      </text>
    </comment>
    <comment ref="B5" authorId="0" shapeId="0" xr:uid="{8E5BAEAB-CAA7-4536-B6EB-B38C7E5E7178}">
      <text>
        <r>
          <rPr>
            <b/>
            <sz val="12"/>
            <color indexed="81"/>
            <rFont val="Tahoma"/>
            <family val="2"/>
          </rPr>
          <t>LC-3X</t>
        </r>
      </text>
    </comment>
    <comment ref="C5" authorId="0" shapeId="0" xr:uid="{F925ADE3-1EAC-4C7E-A25F-286C55CCAAFD}">
      <text>
        <r>
          <rPr>
            <b/>
            <sz val="12"/>
            <color indexed="81"/>
            <rFont val="Tahoma"/>
            <family val="2"/>
          </rPr>
          <t>#10 - 1X</t>
        </r>
      </text>
    </comment>
    <comment ref="D5" authorId="0" shapeId="0" xr:uid="{5D6415A9-93C6-4E1B-BA57-49B4211F5E83}">
      <text>
        <r>
          <rPr>
            <sz val="12"/>
            <color indexed="81"/>
            <rFont val="Tahoma"/>
            <family val="2"/>
          </rPr>
          <t>#10-2X</t>
        </r>
      </text>
    </comment>
    <comment ref="E5" authorId="0" shapeId="0" xr:uid="{A864B93F-CD94-4556-9FB2-0F1B871B0D7E}">
      <text>
        <r>
          <rPr>
            <b/>
            <sz val="12"/>
            <color indexed="81"/>
            <rFont val="Tahoma"/>
            <family val="2"/>
          </rPr>
          <t>#10 - 1X</t>
        </r>
      </text>
    </comment>
    <comment ref="F5" authorId="0" shapeId="0" xr:uid="{7382AA3D-5B1C-4447-8799-4F271FF1320B}">
      <text>
        <r>
          <rPr>
            <b/>
            <sz val="12"/>
            <color indexed="81"/>
            <rFont val="Tahoma"/>
            <family val="2"/>
          </rPr>
          <t>#10 - 1X</t>
        </r>
      </text>
    </comment>
    <comment ref="K5" authorId="0" shapeId="0" xr:uid="{AA92E213-B6DB-4CEF-9B46-CADE31CAA7DE}">
      <text>
        <r>
          <rPr>
            <b/>
            <sz val="12"/>
            <color indexed="81"/>
            <rFont val="Tahoma"/>
            <family val="2"/>
          </rPr>
          <t>#10 - 2X</t>
        </r>
      </text>
    </comment>
    <comment ref="L5" authorId="0" shapeId="0" xr:uid="{C3639204-933C-4A05-85CB-368584E978C1}">
      <text>
        <r>
          <rPr>
            <b/>
            <sz val="12"/>
            <color indexed="81"/>
            <rFont val="Tahoma"/>
            <family val="2"/>
          </rPr>
          <t>#10 - 3C</t>
        </r>
      </text>
    </comment>
    <comment ref="B6" authorId="0" shapeId="0" xr:uid="{687A4BDE-A569-4832-9E88-E38BAC8D102B}">
      <text>
        <r>
          <rPr>
            <b/>
            <sz val="12"/>
            <color indexed="81"/>
            <rFont val="Tahoma"/>
            <family val="2"/>
          </rPr>
          <t>#11- 3X</t>
        </r>
      </text>
    </comment>
    <comment ref="C6" authorId="0" shapeId="0" xr:uid="{797B1905-AB7A-42E5-9480-A46DD0C85E7B}">
      <text>
        <r>
          <rPr>
            <b/>
            <sz val="12"/>
            <color indexed="81"/>
            <rFont val="Tahoma"/>
            <family val="2"/>
          </rPr>
          <t>#11 - 3X</t>
        </r>
      </text>
    </comment>
    <comment ref="D6" authorId="0" shapeId="0" xr:uid="{7E66352E-E929-4D08-935F-2AB6B1B27001}">
      <text>
        <r>
          <rPr>
            <sz val="12"/>
            <color indexed="81"/>
            <rFont val="Tahoma"/>
            <family val="2"/>
          </rPr>
          <t>#11-4X</t>
        </r>
      </text>
    </comment>
    <comment ref="E6" authorId="0" shapeId="0" xr:uid="{34A47DCC-9053-43F5-9722-B6692141D8B9}">
      <text>
        <r>
          <rPr>
            <b/>
            <sz val="12"/>
            <color indexed="81"/>
            <rFont val="Tahoma"/>
            <family val="2"/>
          </rPr>
          <t>#11 - 2X</t>
        </r>
      </text>
    </comment>
    <comment ref="F6" authorId="0" shapeId="0" xr:uid="{8C0AEEFC-5235-4275-B64A-826C90EA5822}">
      <text>
        <r>
          <rPr>
            <b/>
            <sz val="12"/>
            <color indexed="81"/>
            <rFont val="Tahoma"/>
            <family val="2"/>
          </rPr>
          <t>#11 - 4X</t>
        </r>
      </text>
    </comment>
    <comment ref="L6" authorId="0" shapeId="0" xr:uid="{39A96995-A1B9-4B8C-BC2A-83CA9F63588F}">
      <text>
        <r>
          <rPr>
            <b/>
            <sz val="12"/>
            <color indexed="81"/>
            <rFont val="Tahoma"/>
            <family val="2"/>
          </rPr>
          <t>#11 - 2X</t>
        </r>
      </text>
    </comment>
    <comment ref="C7" authorId="0" shapeId="0" xr:uid="{667B6047-D943-4BBB-AA6D-9D83B653D21B}">
      <text>
        <r>
          <rPr>
            <b/>
            <sz val="12"/>
            <color indexed="81"/>
            <rFont val="Tahoma"/>
            <family val="2"/>
          </rPr>
          <t>#13 - 2X</t>
        </r>
      </text>
    </comment>
    <comment ref="D7" authorId="0" shapeId="0" xr:uid="{533F7F39-3F2C-4179-B959-2E70BCF3816F}">
      <text>
        <r>
          <rPr>
            <b/>
            <sz val="12"/>
            <color indexed="81"/>
            <rFont val="Tahoma"/>
            <family val="2"/>
          </rPr>
          <t>#13- 8X</t>
        </r>
      </text>
    </comment>
    <comment ref="E7" authorId="0" shapeId="0" xr:uid="{E8671956-E3EE-4F69-802E-2944C5E346D4}">
      <text>
        <r>
          <rPr>
            <b/>
            <sz val="12"/>
            <color indexed="81"/>
            <rFont val="Tahoma"/>
            <family val="2"/>
          </rPr>
          <t xml:space="preserve">#13- 3X
</t>
        </r>
      </text>
    </comment>
    <comment ref="F7" authorId="0" shapeId="0" xr:uid="{C1CB834B-553B-4CB5-BF4C-8D33CDCFD086}">
      <text>
        <r>
          <rPr>
            <b/>
            <sz val="12"/>
            <color indexed="81"/>
            <rFont val="Tahoma"/>
            <family val="2"/>
          </rPr>
          <t>#13 - 2X</t>
        </r>
      </text>
    </comment>
    <comment ref="L7" authorId="0" shapeId="0" xr:uid="{71B4ABBA-B38A-4861-A819-6E9B7E9A54C4}">
      <text>
        <r>
          <rPr>
            <b/>
            <sz val="12"/>
            <color indexed="81"/>
            <rFont val="Tahoma"/>
            <family val="2"/>
          </rPr>
          <t>#13 - 3X</t>
        </r>
      </text>
    </comment>
    <comment ref="C8" authorId="0" shapeId="0" xr:uid="{369C6F42-C40A-4E43-834C-1655C282460D}">
      <text>
        <r>
          <rPr>
            <sz val="12"/>
            <color indexed="81"/>
            <rFont val="Tahoma"/>
            <family val="2"/>
          </rPr>
          <t>#14-2X</t>
        </r>
      </text>
    </comment>
    <comment ref="F8" authorId="0" shapeId="0" xr:uid="{7B7A08AE-D74D-4145-8FB1-10CF99D33E5A}">
      <text>
        <r>
          <rPr>
            <sz val="12"/>
            <color indexed="81"/>
            <rFont val="Tahoma"/>
            <family val="2"/>
          </rPr>
          <t>#14 - 2X</t>
        </r>
      </text>
    </comment>
    <comment ref="G8" authorId="0" shapeId="0" xr:uid="{FFE08AFC-1C9F-41CE-B420-F8A540B984BF}">
      <text>
        <r>
          <rPr>
            <b/>
            <sz val="12"/>
            <color indexed="81"/>
            <rFont val="Tahoma"/>
            <family val="2"/>
          </rPr>
          <t>#9 - 4X</t>
        </r>
      </text>
    </comment>
    <comment ref="H8" authorId="0" shapeId="0" xr:uid="{83DB2792-E1A8-4686-9A76-99DD29CC8CF0}">
      <text>
        <r>
          <rPr>
            <b/>
            <sz val="12"/>
            <color indexed="81"/>
            <rFont val="Tahoma"/>
            <family val="2"/>
          </rPr>
          <t>#14 - 2X</t>
        </r>
      </text>
    </comment>
    <comment ref="I8" authorId="0" shapeId="0" xr:uid="{A31F5F5C-C925-45F9-AD3C-B4942C531E83}">
      <text>
        <r>
          <rPr>
            <b/>
            <sz val="12"/>
            <color indexed="81"/>
            <rFont val="Tahoma"/>
            <family val="2"/>
          </rPr>
          <t>#14 - 2X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J1" authorId="0" shapeId="0" xr:uid="{870318B4-347C-43F0-B337-43140C68BFC2}">
      <text>
        <r>
          <rPr>
            <sz val="12"/>
            <color indexed="81"/>
            <rFont val="Arial"/>
            <family val="2"/>
          </rPr>
          <t>16-Jun-2020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B3" authorId="0" shapeId="0" xr:uid="{08FAF7A7-C84E-4807-8DF8-444CBDCA81AA}">
      <text>
        <r>
          <rPr>
            <b/>
            <sz val="12"/>
            <color indexed="81"/>
            <rFont val="Tahoma"/>
            <family val="2"/>
          </rPr>
          <t>1x LC</t>
        </r>
      </text>
    </comment>
    <comment ref="H3" authorId="0" shapeId="0" xr:uid="{EF5E7876-51C9-4E69-AA96-034F9A9FA36C}">
      <text>
        <r>
          <rPr>
            <sz val="12"/>
            <color indexed="81"/>
            <rFont val="Tahoma"/>
            <family val="2"/>
          </rPr>
          <t>#8 -4X</t>
        </r>
      </text>
    </comment>
    <comment ref="I3" authorId="0" shapeId="0" xr:uid="{506BFAEE-D4C0-4E15-889D-92D8EC71B231}">
      <text>
        <r>
          <rPr>
            <b/>
            <sz val="12"/>
            <color indexed="81"/>
            <rFont val="Tahoma"/>
            <family val="2"/>
          </rPr>
          <t>4x - LC
1x - Noi</t>
        </r>
      </text>
    </comment>
    <comment ref="J3" authorId="0" shapeId="0" xr:uid="{A7C2CB90-399B-420A-9CBF-3EC5FE6279E8}">
      <text>
        <r>
          <rPr>
            <b/>
            <sz val="12"/>
            <color indexed="81"/>
            <rFont val="Tahoma"/>
            <family val="2"/>
          </rPr>
          <t>5x - LC
1x - DR
1x - NO</t>
        </r>
      </text>
    </comment>
    <comment ref="K3" authorId="0" shapeId="0" xr:uid="{E1B5DD8E-C114-4DCD-B0F3-8994126A7577}">
      <text>
        <r>
          <rPr>
            <b/>
            <sz val="12"/>
            <color indexed="81"/>
            <rFont val="Tahoma"/>
            <family val="2"/>
          </rPr>
          <t>#8 - 4X</t>
        </r>
      </text>
    </comment>
    <comment ref="L3" authorId="0" shapeId="0" xr:uid="{B0833106-96C9-4669-8C3E-CE23E92E4CEF}">
      <text>
        <r>
          <rPr>
            <b/>
            <sz val="12"/>
            <color indexed="81"/>
            <rFont val="Tahoma"/>
            <family val="2"/>
          </rPr>
          <t>1X - LC</t>
        </r>
      </text>
    </comment>
    <comment ref="C4" authorId="0" shapeId="0" xr:uid="{2B2E7E58-A3B8-4054-AB8A-243AB73125CC}">
      <text>
        <r>
          <rPr>
            <b/>
            <sz val="12"/>
            <color indexed="81"/>
            <rFont val="Tahoma"/>
            <family val="2"/>
          </rPr>
          <t>3/15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F4" authorId="0" shapeId="0" xr:uid="{B1085EFD-0C4D-4E5B-B3DA-96324B5EEE45}">
      <text>
        <r>
          <rPr>
            <b/>
            <sz val="12"/>
            <color indexed="81"/>
            <rFont val="Tahoma"/>
            <family val="2"/>
          </rPr>
          <t xml:space="preserve">1x - LC
</t>
        </r>
      </text>
    </comment>
    <comment ref="H4" authorId="0" shapeId="0" xr:uid="{38B0D174-2B20-4002-AAB7-5ADC126518DF}">
      <text>
        <r>
          <rPr>
            <b/>
            <sz val="12"/>
            <color indexed="81"/>
            <rFont val="Tahoma"/>
            <family val="2"/>
          </rPr>
          <t xml:space="preserve">3x - LC
3x - DR
1x - NOI
1x SE </t>
        </r>
      </text>
    </comment>
    <comment ref="I4" authorId="0" shapeId="0" xr:uid="{392D4706-A9B9-45DD-8D6B-1DAAF6C7367D}">
      <text>
        <r>
          <rPr>
            <b/>
            <sz val="12"/>
            <color indexed="81"/>
            <rFont val="Tahoma"/>
            <family val="2"/>
          </rPr>
          <t>4X - LC
2x - Noi</t>
        </r>
      </text>
    </comment>
    <comment ref="J4" authorId="0" shapeId="0" xr:uid="{AF25F112-0683-47BA-AF11-B61628D85183}">
      <text>
        <r>
          <rPr>
            <sz val="12"/>
            <color indexed="81"/>
            <rFont val="Tahoma"/>
            <family val="2"/>
          </rPr>
          <t>2x- SE
4x- Noise</t>
        </r>
      </text>
    </comment>
    <comment ref="K4" authorId="0" shapeId="0" xr:uid="{C91604D5-54E7-4BD1-896E-EAE0DEC34FBE}">
      <text>
        <r>
          <rPr>
            <b/>
            <sz val="12"/>
            <color indexed="81"/>
            <rFont val="Tahoma"/>
            <family val="2"/>
          </rPr>
          <t>Joel Mamalateo Deduyo:</t>
        </r>
        <r>
          <rPr>
            <sz val="12"/>
            <color indexed="81"/>
            <rFont val="Tahoma"/>
            <family val="2"/>
          </rPr>
          <t xml:space="preserve">
1x - DR
1x - SE</t>
        </r>
      </text>
    </comment>
    <comment ref="B5" authorId="0" shapeId="0" xr:uid="{C1EEFBB5-9A40-41C8-9917-6CBBE7F1A6F1}">
      <text>
        <r>
          <rPr>
            <b/>
            <sz val="12"/>
            <color indexed="81"/>
            <rFont val="Tahoma"/>
            <family val="2"/>
          </rPr>
          <t>4/10</t>
        </r>
      </text>
    </comment>
    <comment ref="C5" authorId="0" shapeId="0" xr:uid="{5AE89CC1-E5C3-446E-9457-73120F350BE2}">
      <text>
        <r>
          <rPr>
            <b/>
            <sz val="12"/>
            <color indexed="81"/>
            <rFont val="Tahoma"/>
            <family val="2"/>
          </rPr>
          <t>1x LC
1x Noise
1x SE</t>
        </r>
      </text>
    </comment>
    <comment ref="D5" authorId="0" shapeId="0" xr:uid="{75F774DA-CEAF-4094-AB9B-1243FEC978F3}">
      <text>
        <r>
          <rPr>
            <sz val="12"/>
            <color indexed="81"/>
            <rFont val="Tahoma"/>
            <family val="2"/>
          </rPr>
          <t>2x LC
4x DR
4x NOI
1x SC</t>
        </r>
      </text>
    </comment>
    <comment ref="E5" authorId="0" shapeId="0" xr:uid="{5EE0F739-6CC1-415B-8AD7-2778F79884F5}">
      <text>
        <r>
          <rPr>
            <b/>
            <sz val="12"/>
            <color indexed="81"/>
            <rFont val="Tahoma"/>
            <family val="2"/>
          </rPr>
          <t>1x - LC
2x -NOI
1x - SC</t>
        </r>
      </text>
    </comment>
    <comment ref="F5" authorId="0" shapeId="0" xr:uid="{2FCF531B-1BBD-4EE1-B2F5-2D75D598C9FF}">
      <text>
        <r>
          <rPr>
            <b/>
            <sz val="12"/>
            <color indexed="81"/>
            <rFont val="Tahoma"/>
            <family val="2"/>
          </rPr>
          <t>3x - NOI
1x - DR
1x - SE</t>
        </r>
      </text>
    </comment>
    <comment ref="K5" authorId="0" shapeId="0" xr:uid="{92E94222-5C0D-4F7A-B09D-EC36396E860C}">
      <text>
        <r>
          <rPr>
            <b/>
            <sz val="12"/>
            <color indexed="81"/>
            <rFont val="Tahoma"/>
            <family val="2"/>
          </rPr>
          <t>2x - LC
1x - DR</t>
        </r>
      </text>
    </comment>
    <comment ref="L5" authorId="0" shapeId="0" xr:uid="{5C5C7460-55C6-492C-A302-9FA0A016904B}">
      <text>
        <r>
          <rPr>
            <b/>
            <sz val="12"/>
            <color indexed="81"/>
            <rFont val="Tahoma"/>
            <family val="2"/>
          </rPr>
          <t>3x - LC
1x - NOI</t>
        </r>
      </text>
    </comment>
    <comment ref="B6" authorId="0" shapeId="0" xr:uid="{BE17684D-B2B8-4F82-B623-AF1E65F9553A}">
      <text>
        <r>
          <rPr>
            <b/>
            <sz val="12"/>
            <color indexed="81"/>
            <rFont val="Tahoma"/>
            <family val="2"/>
          </rPr>
          <t xml:space="preserve">3/7
</t>
        </r>
      </text>
    </comment>
    <comment ref="C6" authorId="0" shapeId="0" xr:uid="{7E1A96D8-EBBA-4322-A2F2-1A70897FD28D}">
      <text>
        <r>
          <rPr>
            <b/>
            <sz val="12"/>
            <color indexed="81"/>
            <rFont val="Tahoma"/>
            <family val="2"/>
          </rPr>
          <t>4x LC
1X DR</t>
        </r>
      </text>
    </comment>
    <comment ref="D6" authorId="0" shapeId="0" xr:uid="{58BC5535-1540-4D73-8FB7-C0091EFF27C3}">
      <text>
        <r>
          <rPr>
            <sz val="12"/>
            <color indexed="81"/>
            <rFont val="Tahoma"/>
            <family val="2"/>
          </rPr>
          <t>4x LC1 
1x NOI</t>
        </r>
      </text>
    </comment>
    <comment ref="E6" authorId="0" shapeId="0" xr:uid="{3287D2D6-E647-400F-AC32-B0DD055F6DA9}">
      <text>
        <r>
          <rPr>
            <b/>
            <sz val="12"/>
            <color indexed="81"/>
            <rFont val="Tahoma"/>
            <family val="2"/>
          </rPr>
          <t>#11 - 2X</t>
        </r>
      </text>
    </comment>
    <comment ref="F6" authorId="0" shapeId="0" xr:uid="{D3D5ED75-8091-49BC-9D8C-5ACECE7A08E6}">
      <text>
        <r>
          <rPr>
            <b/>
            <sz val="12"/>
            <color indexed="81"/>
            <rFont val="Tahoma"/>
            <family val="2"/>
          </rPr>
          <t xml:space="preserve">4x - LC
</t>
        </r>
      </text>
    </comment>
    <comment ref="L6" authorId="0" shapeId="0" xr:uid="{A44D6126-1FB6-4068-A5A2-116BB715DB14}">
      <text>
        <r>
          <rPr>
            <b/>
            <sz val="12"/>
            <color indexed="81"/>
            <rFont val="Tahoma"/>
            <family val="2"/>
          </rPr>
          <t xml:space="preserve">2x - LC
1x - DR
</t>
        </r>
      </text>
    </comment>
    <comment ref="C7" authorId="0" shapeId="0" xr:uid="{8B749711-58CC-4E3A-BA01-A85431A4E124}">
      <text>
        <r>
          <rPr>
            <b/>
            <sz val="12"/>
            <color indexed="81"/>
            <rFont val="Tahoma"/>
            <family val="2"/>
          </rPr>
          <t>#13 - 2X</t>
        </r>
      </text>
    </comment>
    <comment ref="D7" authorId="0" shapeId="0" xr:uid="{CFC4157F-1A63-446D-81B9-D69002A72B45}">
      <text>
        <r>
          <rPr>
            <b/>
            <sz val="12"/>
            <color indexed="81"/>
            <rFont val="Tahoma"/>
            <family val="2"/>
          </rPr>
          <t>8X LC
3x DR</t>
        </r>
      </text>
    </comment>
    <comment ref="E7" authorId="0" shapeId="0" xr:uid="{66ED39C0-557D-477E-BE2F-4B5967098CAE}">
      <text>
        <r>
          <rPr>
            <b/>
            <sz val="12"/>
            <color indexed="81"/>
            <rFont val="Tahoma"/>
            <family val="2"/>
          </rPr>
          <t xml:space="preserve">#13- 3X
</t>
        </r>
      </text>
    </comment>
    <comment ref="F7" authorId="0" shapeId="0" xr:uid="{08E7AE13-E7DA-4340-A657-840D29685CBD}">
      <text>
        <r>
          <rPr>
            <b/>
            <sz val="12"/>
            <color indexed="81"/>
            <rFont val="Tahoma"/>
            <family val="2"/>
          </rPr>
          <t>#13 - 2X</t>
        </r>
      </text>
    </comment>
    <comment ref="L7" authorId="0" shapeId="0" xr:uid="{50F70C10-A5E7-425C-B9EE-CFCC72D2C433}">
      <text>
        <r>
          <rPr>
            <b/>
            <sz val="12"/>
            <color indexed="81"/>
            <rFont val="Tahoma"/>
            <family val="2"/>
          </rPr>
          <t>3x - LC
2x - DR
1x - NOI</t>
        </r>
      </text>
    </comment>
    <comment ref="B8" authorId="0" shapeId="0" xr:uid="{9597E412-D2A5-49A4-9E2A-9B93F657D9D7}">
      <text>
        <r>
          <rPr>
            <sz val="12"/>
            <color indexed="81"/>
            <rFont val="Tahoma"/>
            <family val="2"/>
          </rPr>
          <t>1X LC</t>
        </r>
      </text>
    </comment>
    <comment ref="C8" authorId="0" shapeId="0" xr:uid="{962D7CDA-ED0F-4AE0-AA50-D812E9194C15}">
      <text>
        <r>
          <rPr>
            <sz val="12"/>
            <color indexed="81"/>
            <rFont val="Tahoma"/>
            <family val="2"/>
          </rPr>
          <t>2x LC
2x DR</t>
        </r>
      </text>
    </comment>
    <comment ref="F8" authorId="0" shapeId="0" xr:uid="{F818F77A-9187-4E1C-8194-C4A062997C7B}">
      <text>
        <r>
          <rPr>
            <sz val="12"/>
            <color indexed="81"/>
            <rFont val="Tahoma"/>
            <family val="2"/>
          </rPr>
          <t>#14 - 2X</t>
        </r>
      </text>
    </comment>
    <comment ref="G8" authorId="0" shapeId="0" xr:uid="{BA00162F-3419-4FCE-9BB8-730E8DBDA3CC}">
      <text>
        <r>
          <rPr>
            <b/>
            <sz val="12"/>
            <color indexed="81"/>
            <rFont val="Tahoma"/>
            <family val="2"/>
          </rPr>
          <t>4x - LC</t>
        </r>
      </text>
    </comment>
    <comment ref="H8" authorId="0" shapeId="0" xr:uid="{1E08D805-36E6-4BC2-9558-FA3C2107574B}">
      <text>
        <r>
          <rPr>
            <b/>
            <sz val="12"/>
            <color indexed="81"/>
            <rFont val="Tahoma"/>
            <family val="2"/>
          </rPr>
          <t>2x - LC
2X - NOI</t>
        </r>
      </text>
    </comment>
    <comment ref="I8" authorId="0" shapeId="0" xr:uid="{237D29F4-17D0-456C-8536-596524153DC5}">
      <text>
        <r>
          <rPr>
            <b/>
            <sz val="12"/>
            <color indexed="81"/>
            <rFont val="Tahoma"/>
            <family val="2"/>
          </rPr>
          <t>2X - LC
5x - No
1x - Dr</t>
        </r>
      </text>
    </comment>
    <comment ref="J8" authorId="0" shapeId="0" xr:uid="{89C4B79F-DA99-4D0B-B208-73C41C8D2184}">
      <text>
        <r>
          <rPr>
            <sz val="12"/>
            <color indexed="81"/>
            <rFont val="Tahoma"/>
            <family val="2"/>
          </rPr>
          <t>1x - Noi</t>
        </r>
      </text>
    </comment>
    <comment ref="K8" authorId="0" shapeId="0" xr:uid="{B7DB81E2-C26B-41FA-BEF1-0F55946CE147}">
      <text>
        <r>
          <rPr>
            <b/>
            <sz val="12"/>
            <color indexed="81"/>
            <rFont val="Tahoma"/>
            <family val="2"/>
          </rPr>
          <t>Joel Mamalateo Deduyo:</t>
        </r>
        <r>
          <rPr>
            <sz val="12"/>
            <color indexed="81"/>
            <rFont val="Tahoma"/>
            <family val="2"/>
          </rPr>
          <t xml:space="preserve">
1x-  SE
1x - NO</t>
        </r>
      </text>
    </comment>
    <comment ref="J11" authorId="0" shapeId="0" xr:uid="{E334FBA2-E57C-44C9-B503-D9E621A76581}">
      <text>
        <r>
          <rPr>
            <sz val="12"/>
            <color indexed="81"/>
            <rFont val="Arial"/>
            <family val="2"/>
          </rPr>
          <t>16-Jun-2020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K4" authorId="0" shapeId="0" xr:uid="{FA568E94-B3D8-48EE-925C-797A1EAD027C}">
      <text>
        <r>
          <rPr>
            <sz val="9"/>
            <color indexed="81"/>
            <rFont val="Tahoma"/>
            <family val="2"/>
          </rPr>
          <t xml:space="preserve">Increase dB table space </t>
        </r>
      </text>
    </comment>
    <comment ref="L4" authorId="0" shapeId="0" xr:uid="{B851A8D0-A51C-4FD9-B683-0D9BAC804E5C}">
      <text>
        <r>
          <rPr>
            <sz val="9"/>
            <color indexed="81"/>
            <rFont val="Tahoma"/>
            <family val="2"/>
          </rPr>
          <t>HZL/JMD troubleshoot further the station as per advise bu Eric Turner, to evaluale the usage of direct ethernet to UUT</t>
        </r>
      </text>
    </comment>
    <comment ref="N4" authorId="0" shapeId="0" xr:uid="{2F7D0C25-2C1F-4224-BA04-93165E64315C}">
      <text>
        <r>
          <rPr>
            <sz val="9"/>
            <color indexed="81"/>
            <rFont val="Tahoma"/>
            <family val="2"/>
          </rPr>
          <t>HZL/JMD troubleshoot further the station as per advise bu Eric Turner, to evaluale the usage of direct ethernet to UUT</t>
        </r>
      </text>
    </comment>
    <comment ref="O5" authorId="0" shapeId="0" xr:uid="{89F924CF-E2CD-4A90-B5AA-412C84136775}">
      <text>
        <r>
          <rPr>
            <b/>
            <sz val="9"/>
            <color indexed="81"/>
            <rFont val="Tahoma"/>
            <family val="2"/>
          </rPr>
          <t xml:space="preserve">13 Oct 2020 
</t>
        </r>
        <r>
          <rPr>
            <sz val="9"/>
            <color indexed="81"/>
            <rFont val="Tahoma"/>
            <family val="2"/>
          </rPr>
          <t>Eric agree to run the TE82882-8 without the switcher / direct ethernet connection</t>
        </r>
      </text>
    </comment>
    <comment ref="T5" authorId="0" shapeId="0" xr:uid="{BE2A895F-193A-4B7D-9BE3-B47FBD48C3DF}">
      <text>
        <r>
          <rPr>
            <b/>
            <sz val="12"/>
            <color indexed="81"/>
            <rFont val="Tahoma"/>
            <family val="2"/>
          </rPr>
          <t>1x LC</t>
        </r>
      </text>
    </comment>
    <comment ref="Z5" authorId="0" shapeId="0" xr:uid="{E547DA8D-B4D9-4EF8-8E72-17E671BC72F0}">
      <text>
        <r>
          <rPr>
            <sz val="12"/>
            <color indexed="81"/>
            <rFont val="Tahoma"/>
            <family val="2"/>
          </rPr>
          <t>#8 -4X</t>
        </r>
      </text>
    </comment>
    <comment ref="AA5" authorId="0" shapeId="0" xr:uid="{D81886C4-D4B7-4EA9-8D65-AA0C982DFE77}">
      <text>
        <r>
          <rPr>
            <b/>
            <sz val="12"/>
            <color indexed="81"/>
            <rFont val="Tahoma"/>
            <family val="2"/>
          </rPr>
          <t>4x - LC
1x - Noi</t>
        </r>
      </text>
    </comment>
    <comment ref="AB5" authorId="0" shapeId="0" xr:uid="{5A558CF7-DCEC-4F36-B479-FD52F32CE964}">
      <text>
        <r>
          <rPr>
            <b/>
            <sz val="12"/>
            <color indexed="81"/>
            <rFont val="Tahoma"/>
            <family val="2"/>
          </rPr>
          <t>5x - LC
1x - DR
1x - NO</t>
        </r>
      </text>
    </comment>
    <comment ref="AC5" authorId="0" shapeId="0" xr:uid="{1892EB27-8DBD-4C7F-B78D-ECEA5B324868}">
      <text>
        <r>
          <rPr>
            <b/>
            <sz val="12"/>
            <color indexed="81"/>
            <rFont val="Tahoma"/>
            <family val="2"/>
          </rPr>
          <t>#8 - 4X</t>
        </r>
      </text>
    </comment>
    <comment ref="AD5" authorId="0" shapeId="0" xr:uid="{D981D780-5943-4B21-B51D-8DB4C9428971}">
      <text>
        <r>
          <rPr>
            <b/>
            <sz val="12"/>
            <color indexed="81"/>
            <rFont val="Tahoma"/>
            <family val="2"/>
          </rPr>
          <t>1X - LC</t>
        </r>
      </text>
    </comment>
    <comment ref="AE5" authorId="0" shapeId="0" xr:uid="{5A0BC13D-A810-4AB3-A0F4-6043EAA47A43}">
      <text>
        <r>
          <rPr>
            <b/>
            <sz val="12"/>
            <color indexed="81"/>
            <rFont val="Tahoma"/>
            <family val="2"/>
          </rPr>
          <t>4x LC</t>
        </r>
      </text>
    </comment>
    <comment ref="AF5" authorId="0" shapeId="0" xr:uid="{3AFD67C3-747D-4B24-A6CF-7EF739DCD951}">
      <text>
        <r>
          <rPr>
            <b/>
            <sz val="12"/>
            <color indexed="81"/>
            <rFont val="Tahoma"/>
            <family val="2"/>
          </rPr>
          <t>10x LC</t>
        </r>
      </text>
    </comment>
    <comment ref="U6" authorId="0" shapeId="0" xr:uid="{63E60A05-1239-41BC-8D63-C1FF398B486E}">
      <text>
        <r>
          <rPr>
            <b/>
            <sz val="12"/>
            <color indexed="81"/>
            <rFont val="Tahoma"/>
            <family val="2"/>
          </rPr>
          <t>3/15</t>
        </r>
        <r>
          <rPr>
            <sz val="12"/>
            <color indexed="81"/>
            <rFont val="Tahoma"/>
            <family val="2"/>
          </rPr>
          <t xml:space="preserve">
</t>
        </r>
      </text>
    </comment>
    <comment ref="X6" authorId="0" shapeId="0" xr:uid="{E330E235-F572-4BDC-823F-D18B49592CFE}">
      <text>
        <r>
          <rPr>
            <b/>
            <sz val="12"/>
            <color indexed="81"/>
            <rFont val="Tahoma"/>
            <family val="2"/>
          </rPr>
          <t xml:space="preserve">1x - LC
</t>
        </r>
      </text>
    </comment>
    <comment ref="Z6" authorId="0" shapeId="0" xr:uid="{0263A83F-6B20-40A1-9E69-0A96E9ABACAA}">
      <text>
        <r>
          <rPr>
            <b/>
            <sz val="12"/>
            <color indexed="81"/>
            <rFont val="Tahoma"/>
            <family val="2"/>
          </rPr>
          <t xml:space="preserve">3x - LC
3x - DR
1x - NOI
1x SE </t>
        </r>
      </text>
    </comment>
    <comment ref="AA6" authorId="0" shapeId="0" xr:uid="{BE50D298-C402-447D-A481-2AA659884C84}">
      <text>
        <r>
          <rPr>
            <b/>
            <sz val="12"/>
            <color indexed="81"/>
            <rFont val="Tahoma"/>
            <family val="2"/>
          </rPr>
          <t>4X - LC
2x - Noi</t>
        </r>
      </text>
    </comment>
    <comment ref="AB6" authorId="0" shapeId="0" xr:uid="{1456C3A7-E9A5-42EF-B4BC-8997E633B6A7}">
      <text>
        <r>
          <rPr>
            <sz val="12"/>
            <color indexed="81"/>
            <rFont val="Tahoma"/>
            <family val="2"/>
          </rPr>
          <t>2x- SE
4x- Noise</t>
        </r>
      </text>
    </comment>
    <comment ref="AC6" authorId="0" shapeId="0" xr:uid="{0A489BF5-34CC-48D5-9194-78621AF8F491}">
      <text>
        <r>
          <rPr>
            <b/>
            <sz val="12"/>
            <color indexed="81"/>
            <rFont val="Tahoma"/>
            <family val="2"/>
          </rPr>
          <t>Joel Mamalateo Deduyo:</t>
        </r>
        <r>
          <rPr>
            <sz val="12"/>
            <color indexed="81"/>
            <rFont val="Tahoma"/>
            <family val="2"/>
          </rPr>
          <t xml:space="preserve">
1x - DR
1x - SE</t>
        </r>
      </text>
    </comment>
    <comment ref="K7" authorId="0" shapeId="0" xr:uid="{6CD4D0ED-67AA-423A-AD9D-15E18CB20AED}">
      <text>
        <r>
          <rPr>
            <b/>
            <sz val="9"/>
            <color indexed="81"/>
            <rFont val="Tahoma"/>
            <family val="2"/>
          </rPr>
          <t>08 Sep 2020</t>
        </r>
        <r>
          <rPr>
            <sz val="9"/>
            <color indexed="81"/>
            <rFont val="Tahoma"/>
            <family val="2"/>
          </rPr>
          <t xml:space="preserve">
increased the database table sizes and also deleted the DHCP.xml file</t>
        </r>
      </text>
    </comment>
    <comment ref="T7" authorId="0" shapeId="0" xr:uid="{FB854D2E-28DD-49DC-B5D5-7A70F41FF3E1}">
      <text>
        <r>
          <rPr>
            <b/>
            <sz val="12"/>
            <color indexed="81"/>
            <rFont val="Tahoma"/>
            <family val="2"/>
          </rPr>
          <t>4/10</t>
        </r>
      </text>
    </comment>
    <comment ref="U7" authorId="0" shapeId="0" xr:uid="{05295583-3715-4DF1-9C44-660682AB0D20}">
      <text>
        <r>
          <rPr>
            <b/>
            <sz val="12"/>
            <color indexed="81"/>
            <rFont val="Tahoma"/>
            <family val="2"/>
          </rPr>
          <t>1x LC
1x Noise
1x SE</t>
        </r>
      </text>
    </comment>
    <comment ref="V7" authorId="0" shapeId="0" xr:uid="{F1946749-A3E0-4D7F-A8BB-65EBA69E6C0D}">
      <text>
        <r>
          <rPr>
            <sz val="12"/>
            <color indexed="81"/>
            <rFont val="Tahoma"/>
            <family val="2"/>
          </rPr>
          <t>2x LC
4x DR
4x NOI
1x SC</t>
        </r>
      </text>
    </comment>
    <comment ref="W7" authorId="0" shapeId="0" xr:uid="{C7C68018-BCCA-4779-99C3-C381F099C5A8}">
      <text>
        <r>
          <rPr>
            <b/>
            <sz val="12"/>
            <color indexed="81"/>
            <rFont val="Tahoma"/>
            <family val="2"/>
          </rPr>
          <t>1x - LC
2x -NOI
1x - SC</t>
        </r>
      </text>
    </comment>
    <comment ref="X7" authorId="0" shapeId="0" xr:uid="{01AAC9AE-10BA-4702-9E2E-8DCC4872E80C}">
      <text>
        <r>
          <rPr>
            <b/>
            <sz val="12"/>
            <color indexed="81"/>
            <rFont val="Tahoma"/>
            <family val="2"/>
          </rPr>
          <t>3x - NOI
1x - DR
1x - SE</t>
        </r>
      </text>
    </comment>
    <comment ref="AC7" authorId="0" shapeId="0" xr:uid="{D833F2D7-CC98-4282-8B1C-8C415993FC5A}">
      <text>
        <r>
          <rPr>
            <b/>
            <sz val="12"/>
            <color indexed="81"/>
            <rFont val="Tahoma"/>
            <family val="2"/>
          </rPr>
          <t>2x - LC
1x - DR</t>
        </r>
      </text>
    </comment>
    <comment ref="AD7" authorId="0" shapeId="0" xr:uid="{88930B4D-9B28-4075-B391-867AB37B341B}">
      <text>
        <r>
          <rPr>
            <b/>
            <sz val="12"/>
            <color indexed="81"/>
            <rFont val="Tahoma"/>
            <family val="2"/>
          </rPr>
          <t>3x - LC
1x - NOI</t>
        </r>
      </text>
    </comment>
    <comment ref="AE7" authorId="0" shapeId="0" xr:uid="{D26073B7-0532-4A24-A857-75A29909724C}">
      <text>
        <r>
          <rPr>
            <b/>
            <sz val="12"/>
            <color indexed="81"/>
            <rFont val="Tahoma"/>
            <family val="2"/>
          </rPr>
          <t>1x LC</t>
        </r>
      </text>
    </comment>
    <comment ref="T8" authorId="0" shapeId="0" xr:uid="{FBE2774F-B7D1-4E09-8A19-8B37206D58D0}">
      <text>
        <r>
          <rPr>
            <b/>
            <sz val="12"/>
            <color indexed="81"/>
            <rFont val="Tahoma"/>
            <family val="2"/>
          </rPr>
          <t xml:space="preserve">3/7
</t>
        </r>
      </text>
    </comment>
    <comment ref="U8" authorId="0" shapeId="0" xr:uid="{1866FAB0-D71D-44A4-99C9-E510152EAFBF}">
      <text>
        <r>
          <rPr>
            <b/>
            <sz val="12"/>
            <color indexed="81"/>
            <rFont val="Tahoma"/>
            <family val="2"/>
          </rPr>
          <t>4x LC
1X DR</t>
        </r>
      </text>
    </comment>
    <comment ref="V8" authorId="0" shapeId="0" xr:uid="{08B70736-DA36-471B-8FA0-8341E6682802}">
      <text>
        <r>
          <rPr>
            <sz val="12"/>
            <color indexed="81"/>
            <rFont val="Tahoma"/>
            <family val="2"/>
          </rPr>
          <t>4x LC1 
1x NOI</t>
        </r>
      </text>
    </comment>
    <comment ref="W8" authorId="0" shapeId="0" xr:uid="{A5449734-9F2B-46DB-A273-F377C4D675E6}">
      <text>
        <r>
          <rPr>
            <b/>
            <sz val="12"/>
            <color indexed="81"/>
            <rFont val="Tahoma"/>
            <family val="2"/>
          </rPr>
          <t>#11 - 2X</t>
        </r>
      </text>
    </comment>
    <comment ref="X8" authorId="0" shapeId="0" xr:uid="{201B28EF-0628-4910-958F-08F5D5CFCBE6}">
      <text>
        <r>
          <rPr>
            <b/>
            <sz val="12"/>
            <color indexed="81"/>
            <rFont val="Tahoma"/>
            <family val="2"/>
          </rPr>
          <t xml:space="preserve">4x - LC
</t>
        </r>
      </text>
    </comment>
    <comment ref="AD8" authorId="0" shapeId="0" xr:uid="{C607FB41-E6D0-4D55-AA04-502E845ABA14}">
      <text>
        <r>
          <rPr>
            <b/>
            <sz val="12"/>
            <color indexed="81"/>
            <rFont val="Tahoma"/>
            <family val="2"/>
          </rPr>
          <t xml:space="preserve">2x - LC
1x - DR
</t>
        </r>
      </text>
    </comment>
    <comment ref="AE8" authorId="0" shapeId="0" xr:uid="{75D88628-B458-4CB9-9DFB-3FCA73277AB2}">
      <text>
        <r>
          <rPr>
            <b/>
            <sz val="12"/>
            <color indexed="81"/>
            <rFont val="Tahoma"/>
            <family val="2"/>
          </rPr>
          <t>10X LC</t>
        </r>
      </text>
    </comment>
    <comment ref="AF8" authorId="0" shapeId="0" xr:uid="{EC83AFD7-34F5-41F2-A638-19D5D5918936}">
      <text>
        <r>
          <rPr>
            <b/>
            <sz val="12"/>
            <color indexed="81"/>
            <rFont val="Tahoma"/>
            <family val="2"/>
          </rPr>
          <t>4x LC
1x Drfit LC</t>
        </r>
      </text>
    </comment>
    <comment ref="K9" authorId="0" shapeId="0" xr:uid="{4B2632D3-7A40-4F4D-B0F1-97B69398350B}">
      <text>
        <r>
          <rPr>
            <b/>
            <sz val="9"/>
            <color indexed="81"/>
            <rFont val="Tahoma"/>
            <family val="2"/>
          </rPr>
          <t>17 Sep 2020</t>
        </r>
        <r>
          <rPr>
            <sz val="9"/>
            <color indexed="81"/>
            <rFont val="Tahoma"/>
            <family val="2"/>
          </rPr>
          <t xml:space="preserve">
Increase dB table space</t>
        </r>
      </text>
    </comment>
    <comment ref="O9" authorId="0" shapeId="0" xr:uid="{04190E9F-73C2-4CE9-80DE-A3F89CC803A1}">
      <text>
        <r>
          <rPr>
            <b/>
            <sz val="9"/>
            <color indexed="81"/>
            <rFont val="Tahoma"/>
            <family val="2"/>
          </rPr>
          <t xml:space="preserve">13 Oct 2020
</t>
        </r>
        <r>
          <rPr>
            <sz val="9"/>
            <color indexed="81"/>
            <rFont val="Tahoma"/>
            <family val="2"/>
          </rPr>
          <t>TE82882-13 position 3 change ethernet head</t>
        </r>
      </text>
    </comment>
    <comment ref="U9" authorId="0" shapeId="0" xr:uid="{BE30EEC3-B48F-4D89-BCE5-0A91A76307C3}">
      <text>
        <r>
          <rPr>
            <b/>
            <sz val="12"/>
            <color indexed="81"/>
            <rFont val="Tahoma"/>
            <family val="2"/>
          </rPr>
          <t>#13 - 2X</t>
        </r>
      </text>
    </comment>
    <comment ref="V9" authorId="0" shapeId="0" xr:uid="{25FC38C7-93C2-4E34-B608-87613EEADBC3}">
      <text>
        <r>
          <rPr>
            <b/>
            <sz val="12"/>
            <color indexed="81"/>
            <rFont val="Tahoma"/>
            <family val="2"/>
          </rPr>
          <t>8X LC
3x DR</t>
        </r>
      </text>
    </comment>
    <comment ref="W9" authorId="0" shapeId="0" xr:uid="{0ABF57DF-73F5-4A5D-9CAA-D47182641990}">
      <text>
        <r>
          <rPr>
            <b/>
            <sz val="12"/>
            <color indexed="81"/>
            <rFont val="Tahoma"/>
            <family val="2"/>
          </rPr>
          <t xml:space="preserve">#13- 3X
</t>
        </r>
      </text>
    </comment>
    <comment ref="X9" authorId="0" shapeId="0" xr:uid="{E691F3D6-5CF9-4527-AE1B-8C9F101EA346}">
      <text>
        <r>
          <rPr>
            <b/>
            <sz val="12"/>
            <color indexed="81"/>
            <rFont val="Tahoma"/>
            <family val="2"/>
          </rPr>
          <t>#13 - 2X</t>
        </r>
      </text>
    </comment>
    <comment ref="AD9" authorId="0" shapeId="0" xr:uid="{6690E7A7-C3F2-49EF-8585-B66818535A10}">
      <text>
        <r>
          <rPr>
            <b/>
            <sz val="12"/>
            <color indexed="81"/>
            <rFont val="Tahoma"/>
            <family val="2"/>
          </rPr>
          <t>3x - LC
2x - DR
1x - NOI</t>
        </r>
      </text>
    </comment>
    <comment ref="AE9" authorId="0" shapeId="0" xr:uid="{AE55B97F-0407-49D8-8CAC-D6949976C4B0}">
      <text>
        <r>
          <rPr>
            <b/>
            <sz val="12"/>
            <color indexed="81"/>
            <rFont val="Tahoma"/>
            <family val="2"/>
          </rPr>
          <t>1x LC</t>
        </r>
      </text>
    </comment>
    <comment ref="AF9" authorId="0" shapeId="0" xr:uid="{EA5678A1-C7A3-47BD-B430-3A49E2CA9BC8}">
      <text>
        <r>
          <rPr>
            <b/>
            <sz val="12"/>
            <color indexed="81"/>
            <rFont val="Tahoma"/>
            <family val="2"/>
          </rPr>
          <t xml:space="preserve">9c LC
</t>
        </r>
      </text>
    </comment>
    <comment ref="T10" authorId="0" shapeId="0" xr:uid="{B5160BBA-A8E7-46B0-89D8-DEAA09207B07}">
      <text>
        <r>
          <rPr>
            <sz val="12"/>
            <color indexed="81"/>
            <rFont val="Tahoma"/>
            <family val="2"/>
          </rPr>
          <t>1X LC</t>
        </r>
      </text>
    </comment>
    <comment ref="U10" authorId="0" shapeId="0" xr:uid="{27995332-9AF5-4D7C-84AD-D30E12DA1FA4}">
      <text>
        <r>
          <rPr>
            <sz val="12"/>
            <color indexed="81"/>
            <rFont val="Tahoma"/>
            <family val="2"/>
          </rPr>
          <t>2x LC
2x DR</t>
        </r>
      </text>
    </comment>
    <comment ref="X10" authorId="0" shapeId="0" xr:uid="{7675D78D-FDFD-40C4-9F2D-B368F8A406D1}">
      <text>
        <r>
          <rPr>
            <sz val="12"/>
            <color indexed="81"/>
            <rFont val="Tahoma"/>
            <family val="2"/>
          </rPr>
          <t>#14 - 2X</t>
        </r>
      </text>
    </comment>
    <comment ref="Y10" authorId="0" shapeId="0" xr:uid="{892DBE27-FB42-4CEE-9210-59791FB97989}">
      <text>
        <r>
          <rPr>
            <b/>
            <sz val="12"/>
            <color indexed="81"/>
            <rFont val="Tahoma"/>
            <family val="2"/>
          </rPr>
          <t>4x - LC</t>
        </r>
      </text>
    </comment>
    <comment ref="Z10" authorId="0" shapeId="0" xr:uid="{5E7DACBC-8976-4D99-AC68-A86692361979}">
      <text>
        <r>
          <rPr>
            <b/>
            <sz val="12"/>
            <color indexed="81"/>
            <rFont val="Tahoma"/>
            <family val="2"/>
          </rPr>
          <t>2x - LC
2X - NOI</t>
        </r>
      </text>
    </comment>
    <comment ref="AA10" authorId="0" shapeId="0" xr:uid="{E6CD8A3B-F7EB-408F-B3DA-9562CCC22856}">
      <text>
        <r>
          <rPr>
            <b/>
            <sz val="12"/>
            <color indexed="81"/>
            <rFont val="Tahoma"/>
            <family val="2"/>
          </rPr>
          <t>2X - LC
5x - No
1x - Dr</t>
        </r>
      </text>
    </comment>
    <comment ref="AB10" authorId="0" shapeId="0" xr:uid="{6AAED744-821C-4CDA-B0BA-2B8F33A15116}">
      <text>
        <r>
          <rPr>
            <sz val="12"/>
            <color indexed="81"/>
            <rFont val="Tahoma"/>
            <family val="2"/>
          </rPr>
          <t>1x - Noi</t>
        </r>
      </text>
    </comment>
    <comment ref="AC10" authorId="0" shapeId="0" xr:uid="{B3F35DFD-B557-4B1E-8785-9C573100C2CA}">
      <text>
        <r>
          <rPr>
            <b/>
            <sz val="12"/>
            <color indexed="81"/>
            <rFont val="Tahoma"/>
            <family val="2"/>
          </rPr>
          <t>Joel Mamalateo Deduyo:</t>
        </r>
        <r>
          <rPr>
            <sz val="12"/>
            <color indexed="81"/>
            <rFont val="Tahoma"/>
            <family val="2"/>
          </rPr>
          <t xml:space="preserve">
1x-  SE
1x - NO</t>
        </r>
      </text>
    </comment>
    <comment ref="C14" authorId="0" shapeId="0" xr:uid="{17EC91E5-0DBD-40BE-9633-BB31CBE54E99}">
      <text>
        <r>
          <rPr>
            <b/>
            <sz val="12"/>
            <color indexed="81"/>
            <rFont val="Tahoma"/>
            <family val="2"/>
          </rPr>
          <t>7x LC
8x Running Drift-LC</t>
        </r>
      </text>
    </comment>
    <comment ref="D14" authorId="0" shapeId="0" xr:uid="{B1DE8E39-4627-448A-ADE2-4623E64DD23E}">
      <text>
        <r>
          <rPr>
            <b/>
            <sz val="12"/>
            <color indexed="81"/>
            <rFont val="Tahoma"/>
            <family val="2"/>
          </rPr>
          <t>8x LC
2x Noise Drift LC
24 Drift LC</t>
        </r>
      </text>
    </comment>
    <comment ref="E14" authorId="0" shapeId="0" xr:uid="{EC4013D8-717D-44F3-B702-0F1D6869AE06}">
      <text>
        <r>
          <rPr>
            <sz val="12"/>
            <color indexed="81"/>
            <rFont val="Tahoma"/>
            <family val="2"/>
          </rPr>
          <t>10x LC
2x Drift LC</t>
        </r>
      </text>
    </comment>
    <comment ref="F14" authorId="0" shapeId="0" xr:uid="{65BEA7DF-C1F9-4D7C-8DE7-D7CFB1EBA380}">
      <text>
        <r>
          <rPr>
            <b/>
            <sz val="12"/>
            <color indexed="81"/>
            <rFont val="Tahoma"/>
            <family val="2"/>
          </rPr>
          <t>1X LC</t>
        </r>
      </text>
    </comment>
    <comment ref="C15" authorId="0" shapeId="0" xr:uid="{0AB5570B-C063-4D13-A48F-0A06328DD7D6}">
      <text>
        <r>
          <rPr>
            <b/>
            <sz val="12"/>
            <color indexed="81"/>
            <rFont val="Tahoma"/>
            <family val="2"/>
          </rPr>
          <t>13x - LC</t>
        </r>
      </text>
    </comment>
    <comment ref="D15" authorId="0" shapeId="0" xr:uid="{63F36F0C-8239-44AB-AB34-65FC5A479E0A}">
      <text>
        <r>
          <rPr>
            <b/>
            <sz val="12"/>
            <color indexed="81"/>
            <rFont val="Tahoma"/>
            <family val="2"/>
          </rPr>
          <t>17x LC</t>
        </r>
      </text>
    </comment>
    <comment ref="E15" authorId="0" shapeId="0" xr:uid="{1D6BC4EA-68BF-4742-8050-A8325C7EC22E}">
      <text>
        <r>
          <rPr>
            <b/>
            <sz val="12"/>
            <color indexed="81"/>
            <rFont val="Tahoma"/>
            <family val="2"/>
          </rPr>
          <t>8x LC 
3x Drift LC</t>
        </r>
      </text>
    </comment>
    <comment ref="F15" authorId="0" shapeId="0" xr:uid="{392EAC96-6974-4679-AB80-298453D00F3E}">
      <text>
        <r>
          <rPr>
            <b/>
            <sz val="12"/>
            <color indexed="81"/>
            <rFont val="Tahoma"/>
            <family val="2"/>
          </rPr>
          <t>2x LC</t>
        </r>
      </text>
    </comment>
    <comment ref="C16" authorId="0" shapeId="0" xr:uid="{0CDA0BBD-F564-4BD4-83A9-854B13E1A649}">
      <text>
        <r>
          <rPr>
            <b/>
            <sz val="12"/>
            <color indexed="81"/>
            <rFont val="Tahoma"/>
            <family val="2"/>
          </rPr>
          <t>5x LC
2x Running Drift LC</t>
        </r>
      </text>
    </comment>
    <comment ref="D16" authorId="0" shapeId="0" xr:uid="{3BCF7817-3FD0-4969-8DEA-03BFDEA27EF4}">
      <text>
        <r>
          <rPr>
            <sz val="12"/>
            <color indexed="81"/>
            <rFont val="Tahoma"/>
            <family val="2"/>
          </rPr>
          <t>5x LC</t>
        </r>
      </text>
    </comment>
    <comment ref="E16" authorId="0" shapeId="0" xr:uid="{5E7C4666-74BC-482B-83DA-010602A16536}">
      <text>
        <r>
          <rPr>
            <b/>
            <sz val="12"/>
            <color indexed="81"/>
            <rFont val="Tahoma"/>
            <family val="2"/>
          </rPr>
          <t>9x LC
2x Drfit LC</t>
        </r>
      </text>
    </comment>
    <comment ref="F16" authorId="0" shapeId="0" xr:uid="{5F9C797E-2D38-4456-A956-68B0AB4D4F33}">
      <text>
        <r>
          <rPr>
            <sz val="12"/>
            <color indexed="81"/>
            <rFont val="Tahoma"/>
            <family val="2"/>
          </rPr>
          <t>8x LC</t>
        </r>
      </text>
    </comment>
    <comment ref="D17" authorId="0" shapeId="0" xr:uid="{B4B0D591-BAAE-4893-8B16-6BEB5821FB52}">
      <text>
        <r>
          <rPr>
            <b/>
            <sz val="12"/>
            <color indexed="81"/>
            <rFont val="Tahoma"/>
            <family val="2"/>
          </rPr>
          <t>1x LC</t>
        </r>
      </text>
    </comment>
    <comment ref="E17" authorId="0" shapeId="0" xr:uid="{4283396A-12B5-45DE-8CE5-79A257BE2EED}">
      <text>
        <r>
          <rPr>
            <b/>
            <sz val="12"/>
            <color indexed="81"/>
            <rFont val="Tahoma"/>
            <family val="2"/>
          </rPr>
          <t>2x LC</t>
        </r>
      </text>
    </comment>
    <comment ref="F17" authorId="0" shapeId="0" xr:uid="{DA5CFD2F-F602-4A96-AF4E-0A0B4869FDE4}">
      <text>
        <r>
          <rPr>
            <b/>
            <sz val="12"/>
            <color indexed="81"/>
            <rFont val="Tahoma"/>
            <family val="2"/>
          </rPr>
          <t>24x LC</t>
        </r>
      </text>
    </comment>
    <comment ref="C18" authorId="0" shapeId="0" xr:uid="{DB426460-17DD-4214-AF9B-BCEF1CF4180B}">
      <text>
        <r>
          <rPr>
            <sz val="12"/>
            <color indexed="81"/>
            <rFont val="Tahoma"/>
            <family val="2"/>
          </rPr>
          <t>14x LC
1x Noise Running LC
3X Drift Running LC</t>
        </r>
      </text>
    </comment>
    <comment ref="D18" authorId="0" shapeId="0" xr:uid="{02961073-41E6-4AD4-B8B3-C77840687AD4}">
      <text>
        <r>
          <rPr>
            <b/>
            <sz val="12"/>
            <color indexed="81"/>
            <rFont val="Tahoma"/>
            <family val="2"/>
          </rPr>
          <t>20x - LC
3x LC</t>
        </r>
      </text>
    </comment>
    <comment ref="E18" authorId="0" shapeId="0" xr:uid="{11248164-BA40-488E-BB70-2BCF4D61A0C0}">
      <text>
        <r>
          <rPr>
            <b/>
            <sz val="12"/>
            <color indexed="81"/>
            <rFont val="Tahoma"/>
            <family val="2"/>
          </rPr>
          <t xml:space="preserve">5c - LC
</t>
        </r>
      </text>
    </comment>
    <comment ref="F18" authorId="0" shapeId="0" xr:uid="{936DCF94-4BB0-4164-A5FD-6FC5DEEBF349}">
      <text>
        <r>
          <rPr>
            <b/>
            <sz val="12"/>
            <color indexed="81"/>
            <rFont val="Tahoma"/>
            <family val="2"/>
          </rPr>
          <t>8x LC
2x Drift LC</t>
        </r>
      </text>
    </comment>
    <comment ref="C19" authorId="0" shapeId="0" xr:uid="{A3FCC353-4387-46B5-8067-B4B31F38B6F0}">
      <text>
        <r>
          <rPr>
            <sz val="12"/>
            <color indexed="81"/>
            <rFont val="Tahoma"/>
            <family val="2"/>
          </rPr>
          <t>11x LC
2x Running Drift LC</t>
        </r>
      </text>
    </comment>
    <comment ref="D19" authorId="0" shapeId="0" xr:uid="{05ECB7F3-45F3-4613-BF37-3E2C8D004D55}">
      <text>
        <r>
          <rPr>
            <b/>
            <sz val="12"/>
            <color indexed="81"/>
            <rFont val="Tahoma"/>
            <family val="2"/>
          </rPr>
          <t>14x LC</t>
        </r>
      </text>
    </comment>
    <comment ref="E19" authorId="0" shapeId="0" xr:uid="{1C4702A2-1B30-4C49-912C-0762BF6D877A}">
      <text>
        <r>
          <rPr>
            <b/>
            <sz val="12"/>
            <color indexed="81"/>
            <rFont val="Tahoma"/>
            <family val="2"/>
          </rPr>
          <t>10x LC
1x Drift LC</t>
        </r>
      </text>
    </comment>
    <comment ref="F19" authorId="0" shapeId="0" xr:uid="{A6DADED1-D650-42B2-962F-F849E1A96EA3}">
      <text>
        <r>
          <rPr>
            <sz val="12"/>
            <color indexed="81"/>
            <rFont val="Tahoma"/>
            <family val="2"/>
          </rPr>
          <t xml:space="preserve">1x LC
</t>
        </r>
      </text>
    </comment>
    <comment ref="AB38" authorId="0" shapeId="0" xr:uid="{DEEF9BF6-E556-4C14-8E93-99A36B514610}">
      <text>
        <r>
          <rPr>
            <sz val="12"/>
            <color indexed="81"/>
            <rFont val="Arial"/>
            <family val="2"/>
          </rPr>
          <t>16-Jun-2020</t>
        </r>
        <r>
          <rPr>
            <sz val="12"/>
            <color indexed="81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B11" authorId="0" shapeId="0" xr:uid="{168E5AF0-B207-4D51-B313-4EEBFC4E2603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D11" authorId="0" shapeId="0" xr:uid="{6D90E1D5-6D17-441D-9835-5AE8918B9BC1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I11" authorId="0" shapeId="0" xr:uid="{532FC1AF-30F3-410F-85C7-398756957782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K11" authorId="0" shapeId="0" xr:uid="{804B2361-51EC-4BCD-9D2A-140DC393275C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M11" authorId="0" shapeId="0" xr:uid="{E1617CB4-3E69-49A9-B60B-507AAA7BB33D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C12" authorId="0" shapeId="0" xr:uid="{8CFBE6EE-6EE0-4B14-81A2-D4BA81F4A06F}">
      <text>
        <r>
          <rPr>
            <b/>
            <sz val="9"/>
            <color indexed="81"/>
            <rFont val="Tahoma"/>
            <family val="2"/>
          </rPr>
          <t>8x LC</t>
        </r>
      </text>
    </comment>
    <comment ref="D12" authorId="0" shapeId="0" xr:uid="{DABB9ACE-9D44-4602-A860-55F03F112320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E12" authorId="0" shapeId="0" xr:uid="{89D6BC28-EA0F-48F4-86A2-EF83F8B6C3F8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F12" authorId="0" shapeId="0" xr:uid="{8CBE2059-C896-4EC4-819B-B3AB002CC552}">
      <text>
        <r>
          <rPr>
            <b/>
            <sz val="9"/>
            <color indexed="81"/>
            <rFont val="Tahoma"/>
            <family val="2"/>
          </rPr>
          <t>8X LC</t>
        </r>
      </text>
    </comment>
    <comment ref="G12" authorId="0" shapeId="0" xr:uid="{E6F92E28-522F-45CF-844C-FC2B1F4A2CFA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B13" authorId="0" shapeId="0" xr:uid="{90A72D6F-EAD8-4DCE-933F-B3604E2AC67A}">
      <text>
        <r>
          <rPr>
            <b/>
            <sz val="9"/>
            <color indexed="81"/>
            <rFont val="Tahoma"/>
            <family val="2"/>
          </rPr>
          <t>1XLC</t>
        </r>
      </text>
    </comment>
    <comment ref="C13" authorId="0" shapeId="0" xr:uid="{F242CD13-649C-4764-93DA-84BAA808116F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D13" authorId="0" shapeId="0" xr:uid="{AD72D0A9-8D00-4C5A-A4B8-3F8EB0CAE4E3}">
      <text>
        <r>
          <rPr>
            <b/>
            <sz val="9"/>
            <color indexed="81"/>
            <rFont val="Tahoma"/>
            <family val="2"/>
          </rPr>
          <t>8C LC</t>
        </r>
      </text>
    </comment>
    <comment ref="E13" authorId="0" shapeId="0" xr:uid="{04252FC7-1826-4228-9EC8-07ED8E872842}">
      <text>
        <r>
          <rPr>
            <b/>
            <sz val="9"/>
            <color indexed="81"/>
            <rFont val="Tahoma"/>
            <family val="2"/>
          </rPr>
          <t>4x LC</t>
        </r>
      </text>
    </comment>
    <comment ref="G13" authorId="0" shapeId="0" xr:uid="{B0C9AAC4-94D1-4BB4-B595-617403C26883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C14" authorId="0" shapeId="0" xr:uid="{3FE47EC8-04E7-471A-8C6A-020B2D83BECD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F14" authorId="0" shapeId="0" xr:uid="{03363739-FDBB-4BA1-955B-A3223EE669D1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G14" authorId="0" shapeId="0" xr:uid="{A9828440-DD87-46C7-BEDC-4F8B73CF23CD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I14" authorId="0" shapeId="0" xr:uid="{D545FBBF-1BA5-4652-AC80-6F31B7E4D486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B16" authorId="0" shapeId="0" xr:uid="{EB576418-B735-490C-B28D-1C6CC9044816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G16" authorId="0" shapeId="0" xr:uid="{D595FC72-B482-4950-B213-428B5EC7163C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I16" authorId="0" shapeId="0" xr:uid="{EDA0DB16-E7BF-4226-9D39-226B6BF45858}">
      <text>
        <r>
          <rPr>
            <b/>
            <sz val="9"/>
            <color indexed="81"/>
            <rFont val="Tahoma"/>
            <family val="2"/>
          </rPr>
          <t>5x LC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16" authorId="0" shapeId="0" xr:uid="{4B8C3CAA-E7B0-45B9-8B59-34FE80C68A50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L16" authorId="0" shapeId="0" xr:uid="{9D2A1FAB-D5F6-47DD-9BBD-7B59BA30EA57}">
      <text>
        <r>
          <rPr>
            <b/>
            <sz val="9"/>
            <color indexed="81"/>
            <rFont val="Tahoma"/>
            <family val="2"/>
          </rPr>
          <t>4x LC</t>
        </r>
      </text>
    </comment>
    <comment ref="M16" authorId="0" shapeId="0" xr:uid="{95664BBA-FC6E-449A-A15C-9F1D919A9B93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B18" authorId="0" shapeId="0" xr:uid="{9EE1193B-912F-4468-9296-A32D3423C1B3}">
      <text>
        <r>
          <rPr>
            <b/>
            <sz val="9"/>
            <color indexed="81"/>
            <rFont val="Tahoma"/>
            <family val="2"/>
          </rPr>
          <t>7X LC</t>
        </r>
      </text>
    </comment>
    <comment ref="D18" authorId="0" shapeId="0" xr:uid="{B4B6746D-8BA9-457A-9B46-96CF125C50C2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G18" authorId="0" shapeId="0" xr:uid="{9D77B92E-82AA-47EE-B9A9-A78359FAD1D1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H18" authorId="0" shapeId="0" xr:uid="{0447393D-6B23-440E-BC4E-B1FBADCD7E8F}">
      <text>
        <r>
          <rPr>
            <b/>
            <sz val="9"/>
            <color indexed="81"/>
            <rFont val="Tahoma"/>
            <family val="2"/>
          </rPr>
          <t>4X LC</t>
        </r>
      </text>
    </comment>
    <comment ref="I18" authorId="0" shapeId="0" xr:uid="{B69BBB22-6336-4832-9B7E-E7710784B15D}">
      <text>
        <r>
          <rPr>
            <b/>
            <sz val="9"/>
            <color indexed="81"/>
            <rFont val="Tahoma"/>
            <family val="2"/>
          </rPr>
          <t>10x LC</t>
        </r>
      </text>
    </comment>
    <comment ref="J18" authorId="0" shapeId="0" xr:uid="{73541F79-4C7D-4A25-B023-02A4BCC53013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K18" authorId="0" shapeId="0" xr:uid="{FE62F814-1077-4E2D-AB7A-D71A88A73C31}">
      <text>
        <r>
          <rPr>
            <b/>
            <sz val="9"/>
            <color indexed="81"/>
            <rFont val="Tahoma"/>
            <family val="2"/>
          </rPr>
          <t>10x LC</t>
        </r>
      </text>
    </comment>
    <comment ref="L18" authorId="0" shapeId="0" xr:uid="{43220D7B-2452-4EE8-8553-85280C8D55E2}">
      <text>
        <r>
          <rPr>
            <b/>
            <sz val="9"/>
            <color indexed="81"/>
            <rFont val="Tahoma"/>
            <family val="2"/>
          </rPr>
          <t>12x LC</t>
        </r>
      </text>
    </comment>
    <comment ref="M18" authorId="0" shapeId="0" xr:uid="{E76A06D5-8760-4004-8635-29B6CEF9A207}">
      <text>
        <r>
          <rPr>
            <b/>
            <sz val="9"/>
            <color indexed="81"/>
            <rFont val="Tahoma"/>
            <family val="2"/>
          </rPr>
          <t>13x LC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B9" authorId="0" shapeId="0" xr:uid="{9DD8B829-FFA4-4FC9-8630-40847BACBEEB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C9" authorId="0" shapeId="0" xr:uid="{83AE529A-2A2E-422D-B072-090B17EF9C70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C10" authorId="0" shapeId="0" xr:uid="{493965E4-ECD2-4367-8CF9-85BA60919746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D10" authorId="0" shapeId="0" xr:uid="{A989844C-240E-49C5-ABD6-05C94F935E3B}">
      <text>
        <r>
          <rPr>
            <b/>
            <sz val="9"/>
            <color indexed="81"/>
            <rFont val="Tahoma"/>
            <family val="2"/>
          </rPr>
          <t>8X LC</t>
        </r>
      </text>
    </comment>
    <comment ref="B11" authorId="0" shapeId="0" xr:uid="{E3F47795-BFE5-4B10-84DB-407E72B7F522}">
      <text>
        <r>
          <rPr>
            <b/>
            <sz val="9"/>
            <color indexed="81"/>
            <rFont val="Tahoma"/>
            <family val="2"/>
          </rPr>
          <t>1XLC</t>
        </r>
      </text>
    </comment>
    <comment ref="C11" authorId="0" shapeId="0" xr:uid="{1084853B-87C8-4933-A389-8EF5368BAA03}">
      <text>
        <r>
          <rPr>
            <b/>
            <sz val="9"/>
            <color indexed="81"/>
            <rFont val="Tahoma"/>
            <family val="2"/>
          </rPr>
          <t>8C LC</t>
        </r>
      </text>
    </comment>
    <comment ref="D12" authorId="0" shapeId="0" xr:uid="{66A398A5-FE8F-4C34-9AD0-D534E9B4FE28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B14" authorId="0" shapeId="0" xr:uid="{B9375777-3DF4-495F-875C-20D976FD4A75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G14" authorId="0" shapeId="0" xr:uid="{7F4D1877-A704-48E5-965A-3A4737C62453}">
      <text>
        <r>
          <rPr>
            <b/>
            <sz val="9"/>
            <color indexed="81"/>
            <rFont val="Tahoma"/>
            <family val="2"/>
          </rPr>
          <t>4x LC</t>
        </r>
      </text>
    </comment>
    <comment ref="B16" authorId="0" shapeId="0" xr:uid="{AF1FCC27-EE59-4D0B-A110-C69545FCC4A6}">
      <text>
        <r>
          <rPr>
            <b/>
            <sz val="9"/>
            <color indexed="81"/>
            <rFont val="Tahoma"/>
            <family val="2"/>
          </rPr>
          <t>7X LC</t>
        </r>
      </text>
    </comment>
    <comment ref="C16" authorId="0" shapeId="0" xr:uid="{E8232082-ED3A-4644-8450-8B8F275E4612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E16" authorId="0" shapeId="0" xr:uid="{A57563ED-6D44-4EAA-8C84-560BA5447FF7}">
      <text>
        <r>
          <rPr>
            <b/>
            <sz val="9"/>
            <color indexed="81"/>
            <rFont val="Tahoma"/>
            <family val="2"/>
          </rPr>
          <t>4X LC</t>
        </r>
      </text>
    </comment>
    <comment ref="F16" authorId="0" shapeId="0" xr:uid="{E10C882D-3550-42FC-9B87-DF5A5C8DD1B3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G16" authorId="0" shapeId="0" xr:uid="{3764C9C4-F89F-4FD3-BCB5-DA4499C97094}">
      <text>
        <r>
          <rPr>
            <b/>
            <sz val="9"/>
            <color indexed="81"/>
            <rFont val="Tahoma"/>
            <family val="2"/>
          </rPr>
          <t>12x LC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E9" authorId="0" shapeId="0" xr:uid="{83C798E5-4452-4436-9111-B1255F54542B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F9" authorId="0" shapeId="0" xr:uid="{4B2E5378-5153-498E-83AA-65C27CCBCEC5}">
      <text>
        <r>
          <rPr>
            <b/>
            <sz val="9"/>
            <color indexed="81"/>
            <rFont val="Tahoma"/>
            <family val="2"/>
          </rPr>
          <t>7x LC</t>
        </r>
      </text>
    </comment>
    <comment ref="G9" authorId="0" shapeId="0" xr:uid="{54A029FF-8787-422A-9193-63C62DFE7F16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B10" authorId="0" shapeId="0" xr:uid="{A002B89A-98D2-456E-8936-3DB77CEA0003}">
      <text>
        <r>
          <rPr>
            <b/>
            <sz val="9"/>
            <color indexed="81"/>
            <rFont val="Tahoma"/>
            <family val="2"/>
          </rPr>
          <t>8x LC</t>
        </r>
      </text>
    </comment>
    <comment ref="C10" authorId="0" shapeId="0" xr:uid="{0FA5BADF-F77B-4E22-AE4A-24698E99D7E5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D10" authorId="0" shapeId="0" xr:uid="{F703B535-808F-4529-95C7-FAD518BEA2C2}">
      <text>
        <r>
          <rPr>
            <b/>
            <sz val="9"/>
            <color indexed="81"/>
            <rFont val="Tahoma"/>
            <family val="2"/>
          </rPr>
          <t>7x LC</t>
        </r>
      </text>
    </comment>
    <comment ref="B11" authorId="0" shapeId="0" xr:uid="{CBF1F0DE-EF3C-4128-8F32-FEE431F7F596}">
      <text>
        <r>
          <rPr>
            <b/>
            <sz val="9"/>
            <color indexed="81"/>
            <rFont val="Tahoma"/>
            <family val="2"/>
          </rPr>
          <t>4x LC</t>
        </r>
      </text>
    </comment>
    <comment ref="C11" authorId="0" shapeId="0" xr:uid="{9CC61FEB-4A1C-4D52-AD58-2621590FAEAD}">
      <text>
        <r>
          <rPr>
            <b/>
            <sz val="9"/>
            <color indexed="81"/>
            <rFont val="Tahoma"/>
            <family val="2"/>
          </rPr>
          <t>11x LC</t>
        </r>
      </text>
    </comment>
    <comment ref="D11" authorId="0" shapeId="0" xr:uid="{B11EDBF7-66BB-4135-9C2B-0B383648CAD7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B12" authorId="0" shapeId="0" xr:uid="{0F9E4AF2-C048-460B-8A70-8644172D046F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D12" authorId="0" shapeId="0" xr:uid="{5AA08EF3-F50E-47E8-9ADF-DC086AD7F0BC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E12" authorId="0" shapeId="0" xr:uid="{BABF7CAB-C01C-4BB0-999E-381B5822056B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D13" authorId="0" shapeId="0" xr:uid="{C381BCE8-905F-474F-8A7D-EEB485AEE1E8}">
      <text>
        <r>
          <rPr>
            <b/>
            <sz val="9"/>
            <color indexed="81"/>
            <rFont val="Tahoma"/>
            <family val="2"/>
          </rPr>
          <t>2x LC</t>
        </r>
      </text>
    </comment>
    <comment ref="D14" authorId="0" shapeId="0" xr:uid="{B4CD5735-6923-464D-A7A2-783123E41E51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E14" authorId="0" shapeId="0" xr:uid="{1AC23903-30BF-4348-BA65-80DEC4383210}">
      <text>
        <r>
          <rPr>
            <b/>
            <sz val="9"/>
            <color indexed="81"/>
            <rFont val="Tahoma"/>
            <family val="2"/>
          </rPr>
          <t>8x LC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4" authorId="0" shapeId="0" xr:uid="{F41A978E-1704-4168-B140-82F91817F34B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G14" authorId="0" shapeId="0" xr:uid="{CE46E9AE-D217-43F2-AAA5-242A90E38C02}">
      <text>
        <r>
          <rPr>
            <b/>
            <sz val="9"/>
            <color indexed="81"/>
            <rFont val="Tahoma"/>
            <family val="2"/>
          </rPr>
          <t>5x LC</t>
        </r>
      </text>
    </comment>
    <comment ref="B16" authorId="0" shapeId="0" xr:uid="{AAEF1D91-04F9-4CB3-8DFE-296FD7369DCC}">
      <text>
        <r>
          <rPr>
            <b/>
            <sz val="9"/>
            <color indexed="81"/>
            <rFont val="Tahoma"/>
            <family val="2"/>
          </rPr>
          <t>2x LC</t>
        </r>
      </text>
    </comment>
    <comment ref="C16" authorId="0" shapeId="0" xr:uid="{787F9BBD-56D9-4B1D-A1ED-B6BC5356F13D}">
      <text>
        <r>
          <rPr>
            <b/>
            <sz val="9"/>
            <color indexed="81"/>
            <rFont val="Tahoma"/>
            <family val="2"/>
          </rPr>
          <t>1x LC</t>
        </r>
      </text>
    </comment>
    <comment ref="D16" authorId="0" shapeId="0" xr:uid="{9E2EAF4C-7864-4F54-9A9B-B504938BC5CE}">
      <text>
        <r>
          <rPr>
            <b/>
            <sz val="9"/>
            <color indexed="81"/>
            <rFont val="Tahoma"/>
            <family val="2"/>
          </rPr>
          <t>3x LC</t>
        </r>
      </text>
    </comment>
    <comment ref="E16" authorId="0" shapeId="0" xr:uid="{9BA5D4F1-8A0E-4E08-8E5C-ECD4E99F2587}">
      <text>
        <r>
          <rPr>
            <b/>
            <sz val="9"/>
            <color indexed="81"/>
            <rFont val="Tahoma"/>
            <family val="2"/>
          </rPr>
          <t>19x LC</t>
        </r>
      </text>
    </comment>
    <comment ref="F16" authorId="0" shapeId="0" xr:uid="{A1788BFC-F33A-4180-97E7-63A30AEADA39}">
      <text>
        <r>
          <rPr>
            <b/>
            <sz val="9"/>
            <color indexed="81"/>
            <rFont val="Tahoma"/>
            <family val="2"/>
          </rPr>
          <t>14x LC</t>
        </r>
      </text>
    </comment>
    <comment ref="G16" authorId="0" shapeId="0" xr:uid="{5DABC5BE-2D43-4DB1-88CF-ECD8E19BB67B}">
      <text>
        <r>
          <rPr>
            <b/>
            <sz val="9"/>
            <color indexed="81"/>
            <rFont val="Tahoma"/>
            <family val="2"/>
          </rPr>
          <t>16x LC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Joel Mamalateo Deduyo</author>
  </authors>
  <commentList>
    <comment ref="E12" authorId="0" shapeId="0" xr:uid="{F61AEDC5-A76E-4386-9165-A367D53BF04C}">
      <text>
        <r>
          <rPr>
            <b/>
            <sz val="9"/>
            <color indexed="81"/>
            <rFont val="Tahoma"/>
            <family val="2"/>
          </rPr>
          <t>LC: 9x</t>
        </r>
      </text>
    </comment>
    <comment ref="E13" authorId="0" shapeId="0" xr:uid="{AC85E0C4-7E67-4D84-A1E0-5AD2F8E9C826}">
      <text>
        <r>
          <rPr>
            <b/>
            <sz val="9"/>
            <color indexed="81"/>
            <rFont val="Tahoma"/>
            <family val="2"/>
          </rPr>
          <t>LC 3x</t>
        </r>
      </text>
    </comment>
    <comment ref="E14" authorId="0" shapeId="0" xr:uid="{987A8E19-3810-4F47-87B9-92C84FD0C12E}">
      <text>
        <r>
          <rPr>
            <b/>
            <sz val="9"/>
            <color indexed="81"/>
            <rFont val="Tahoma"/>
            <family val="2"/>
          </rPr>
          <t>LC 3x</t>
        </r>
      </text>
    </comment>
    <comment ref="E16" authorId="0" shapeId="0" xr:uid="{882A98FA-B1E9-4FA1-A600-86FB7D24A975}">
      <text>
        <r>
          <rPr>
            <b/>
            <sz val="9"/>
            <color indexed="81"/>
            <rFont val="Tahoma"/>
            <family val="2"/>
          </rPr>
          <t>LC 2x</t>
        </r>
      </text>
    </comment>
    <comment ref="E18" authorId="0" shapeId="0" xr:uid="{1B057929-D02C-4C2C-9BD4-7DC39ACDF6D2}">
      <text>
        <r>
          <rPr>
            <b/>
            <sz val="9"/>
            <color indexed="81"/>
            <rFont val="Tahoma"/>
            <family val="2"/>
          </rPr>
          <t>LC 3x</t>
        </r>
      </text>
    </comment>
  </commentList>
</comments>
</file>

<file path=xl/sharedStrings.xml><?xml version="1.0" encoding="utf-8"?>
<sst xmlns="http://schemas.openxmlformats.org/spreadsheetml/2006/main" count="605" uniqueCount="138">
  <si>
    <t>TE82882-8</t>
  </si>
  <si>
    <t>TE82882-9</t>
  </si>
  <si>
    <t>TE82882-10</t>
  </si>
  <si>
    <t>TE82882-11</t>
  </si>
  <si>
    <t>TE82882-13</t>
  </si>
  <si>
    <t>TE82882-14</t>
  </si>
  <si>
    <t>TE82882</t>
  </si>
  <si>
    <t>FPY</t>
  </si>
  <si>
    <t>TESTED</t>
  </si>
  <si>
    <t xml:space="preserve">LOSS COMM </t>
  </si>
  <si>
    <t>Total</t>
  </si>
  <si>
    <t>WW'19</t>
  </si>
  <si>
    <t>WW'20</t>
  </si>
  <si>
    <t>WW'21</t>
  </si>
  <si>
    <t>WW'22</t>
  </si>
  <si>
    <t>WW'23</t>
  </si>
  <si>
    <t>WW'24</t>
  </si>
  <si>
    <t>TOTAL</t>
  </si>
  <si>
    <t>WW18</t>
  </si>
  <si>
    <t>Tester per WW</t>
  </si>
  <si>
    <t>WW23</t>
  </si>
  <si>
    <t>Start using TE82882-
8, 9 and 14
28-30 May 20</t>
  </si>
  <si>
    <t xml:space="preserve">WW'22 </t>
  </si>
  <si>
    <t>Stop usage TE82882
10,11 and 13
24-27 May 20</t>
  </si>
  <si>
    <t>17-23 May 2020</t>
  </si>
  <si>
    <t>31 May - 06 Jun 2020</t>
  </si>
  <si>
    <t>07-13 Jun 2020</t>
  </si>
  <si>
    <t>14-20 Jun 2020</t>
  </si>
  <si>
    <t>Date Start :
24 Apr 2020 - 02 May 2020</t>
  </si>
  <si>
    <t>03 May - 09 May 2020</t>
  </si>
  <si>
    <t>Stop using 
TE82882- 8, 9 and 14
10-16 May 2020</t>
  </si>
  <si>
    <t>21-27 Jun 2020</t>
  </si>
  <si>
    <t>WW'25</t>
  </si>
  <si>
    <t>WW'26</t>
  </si>
  <si>
    <t>WW'27</t>
  </si>
  <si>
    <t>28 Jun to 04 Jul 2020</t>
  </si>
  <si>
    <t>SS7 Data 
as of 04 Jul 2020</t>
  </si>
  <si>
    <t>Data as of 04 Jul 2020</t>
  </si>
  <si>
    <t>Total Run 
(Loss Comm)</t>
  </si>
  <si>
    <t>Summed Total Based on comments</t>
  </si>
  <si>
    <t>Commn Failure %</t>
  </si>
  <si>
    <t>Delta</t>
  </si>
  <si>
    <t>Red ones to be checked</t>
  </si>
  <si>
    <t>Jan'20</t>
  </si>
  <si>
    <t>Mar'20</t>
  </si>
  <si>
    <t>Feb'20</t>
  </si>
  <si>
    <t>Total Units Loss Commn :</t>
  </si>
  <si>
    <t>Apr'20</t>
  </si>
  <si>
    <t>Tester</t>
  </si>
  <si>
    <t>PDA Yield Improvement Project, Reduction of Loss Communication Failure (Total Runs)</t>
  </si>
  <si>
    <t>Total Tested</t>
  </si>
  <si>
    <t>Loss Commn  %</t>
  </si>
  <si>
    <t>Check this tally</t>
  </si>
  <si>
    <t>Date of installation</t>
  </si>
  <si>
    <t>Transfer Tester/ New Tester</t>
  </si>
  <si>
    <t>Last Upgrade</t>
  </si>
  <si>
    <t>Tester config/ components</t>
  </si>
  <si>
    <t>Data switch</t>
  </si>
  <si>
    <t>Cables..</t>
  </si>
  <si>
    <t>…</t>
  </si>
  <si>
    <t>CAT 6</t>
  </si>
  <si>
    <t>CAT 5e</t>
  </si>
  <si>
    <t>NA</t>
  </si>
  <si>
    <t>Yes</t>
  </si>
  <si>
    <t>TRF</t>
  </si>
  <si>
    <t>ETUR-A5VRM8</t>
  </si>
  <si>
    <t>DATE</t>
  </si>
  <si>
    <t>OESR</t>
  </si>
  <si>
    <t>S20011</t>
  </si>
  <si>
    <t>DESCRIPTION</t>
  </si>
  <si>
    <t>S20020</t>
  </si>
  <si>
    <t xml:space="preserve"> S190130</t>
  </si>
  <si>
    <r>
      <t xml:space="preserve">TE82882 PDA Final Test System Missing Spare OB PN 700011652
</t>
    </r>
    <r>
      <rPr>
        <sz val="10"/>
        <color rgb="FF0000FF"/>
        <rFont val="Arial"/>
        <family val="2"/>
      </rPr>
      <t>26-Sep-19 - TE82882-10SEP19-VAF_Approved and released tester for usage.</t>
    </r>
  </si>
  <si>
    <t>Status</t>
  </si>
  <si>
    <t>Close</t>
  </si>
  <si>
    <t>Date</t>
  </si>
  <si>
    <t>S190195
  193814</t>
  </si>
  <si>
    <r>
      <t xml:space="preserve">17-Dec-19: Concall between JMD and HZL to inform E  Turner if OK
</t>
    </r>
    <r>
      <rPr>
        <sz val="10"/>
        <color rgb="FF0000FF"/>
        <rFont val="Arial"/>
        <family val="2"/>
      </rPr>
      <t>20-Dec-19: Waters Milford Matt Brule and Eric Turner awar</t>
    </r>
  </si>
  <si>
    <r>
      <t xml:space="preserve">- PDA Final Test System TE82882-11 Not able to login from Empower using username "system' and password "metsys". 
- It is showing Database Connection Failure
- both “tester” and admin account “te-1” not able to use the username and password
</t>
    </r>
    <r>
      <rPr>
        <sz val="10"/>
        <color rgb="FF0000FF"/>
        <rFont val="Arial"/>
        <family val="2"/>
      </rPr>
      <t>07 Feb 2020 - Reinstalled image and able to login to Empower. Test 1 unit and able to pass test</t>
    </r>
  </si>
  <si>
    <r>
      <t xml:space="preserve">-PDA Final Test System TE82882-11 Not able too into WinOS due to corrupted WinOS (pls refer to attached photo)
- tried to used the back-up from Acronis Imaging software but not able to activate the image. 
</t>
    </r>
    <r>
      <rPr>
        <sz val="10"/>
        <color rgb="FF0000FF"/>
        <rFont val="Arial"/>
        <family val="2"/>
      </rPr>
      <t>27-Feb -2020: Re-run the back-up and ren disk defragmentation and Check Disk Error, re-image and install back</t>
    </r>
  </si>
  <si>
    <t>Upgrade ?</t>
  </si>
  <si>
    <t>Final Test ver 4.2</t>
  </si>
  <si>
    <t>ETUR-0PAPCT</t>
  </si>
  <si>
    <t>New Tester</t>
  </si>
  <si>
    <t>WW28</t>
  </si>
  <si>
    <t>Communication Failure rate % :</t>
  </si>
  <si>
    <t>May'20</t>
  </si>
  <si>
    <t>Jun'20</t>
  </si>
  <si>
    <t>WW29</t>
  </si>
  <si>
    <t>WW30</t>
  </si>
  <si>
    <t>WW31</t>
  </si>
  <si>
    <t>9,10,14</t>
  </si>
  <si>
    <t>8,11,13</t>
  </si>
  <si>
    <t>Ave FPY</t>
  </si>
  <si>
    <t>Loss Comm</t>
  </si>
  <si>
    <t>Jul'20</t>
  </si>
  <si>
    <t>FPY %</t>
  </si>
  <si>
    <t>Baseline (EVALS20015)</t>
  </si>
  <si>
    <t>Target</t>
  </si>
  <si>
    <t>PN/Tester</t>
  </si>
  <si>
    <r>
      <t xml:space="preserve">Manual Data Collection from after Eric Turner suggestion Start: </t>
    </r>
    <r>
      <rPr>
        <b/>
        <sz val="10"/>
        <color theme="1"/>
        <rFont val="Arial"/>
        <family val="2"/>
      </rPr>
      <t>24 Sep 2020</t>
    </r>
    <r>
      <rPr>
        <b/>
        <sz val="10"/>
        <rFont val="Arial"/>
        <family val="2"/>
      </rPr>
      <t xml:space="preserve"> (Ref EVALS20033)</t>
    </r>
  </si>
  <si>
    <t>Total Units Shunt Energy</t>
  </si>
  <si>
    <t>PDA Shunt Energy</t>
  </si>
  <si>
    <t>Shunt Energy %</t>
  </si>
  <si>
    <t>24 Sep 2020 -
12 Oct 2020</t>
  </si>
  <si>
    <t>13 Oct 2020 - 
17 Nov 2020</t>
  </si>
  <si>
    <t>Before</t>
  </si>
  <si>
    <t>After</t>
  </si>
  <si>
    <t>24 Sep 2020 -
17 Nov 2020</t>
  </si>
  <si>
    <t>Monitoring</t>
  </si>
  <si>
    <t>01 Sep 2020 to 
23 Sep 2020</t>
  </si>
  <si>
    <t>24 Sep 2020 to 
30 Sep 2020</t>
  </si>
  <si>
    <t>01 Oct 2020 to 
12 Oct 2020</t>
  </si>
  <si>
    <t>13 Oct 2020 to
31 Oct 2020</t>
  </si>
  <si>
    <t>Manual Data Collection (EVALS20033 v 01)</t>
  </si>
  <si>
    <t>PDA (Actual)</t>
  </si>
  <si>
    <t>PDA Target</t>
  </si>
  <si>
    <t>13 Oct 2020 - 
27 Nov 2020</t>
  </si>
  <si>
    <t>FPY (without Loss Comm)</t>
  </si>
  <si>
    <t>Manual Data Collection (EVALS20015) (as of 29 Jul 2020)</t>
  </si>
  <si>
    <t>Baseline FPY (EVALS20015)</t>
  </si>
  <si>
    <t>Manual Data Collection (EVALS20033 v01)</t>
  </si>
  <si>
    <t>13 Oct 2020 - 
02 Dec 2020</t>
  </si>
  <si>
    <t xml:space="preserve">Total </t>
  </si>
  <si>
    <t>Manual Data Collection (EVALS20033 24 Sep 2020 to 12 Oct 2020)</t>
  </si>
  <si>
    <t>TE82882-10 increased database table size and deleted DHCP.xml file as per TSP 735001613</t>
  </si>
  <si>
    <t>TE82882-14 increased data base table space  (once see if help, Eric Turner plan is to add into TSP)</t>
  </si>
  <si>
    <t>TE82882-8 and TE82882-11 - increased data base table space and rogue instrument on TE82882-11</t>
  </si>
  <si>
    <t>TE82882-13  increased database table size</t>
  </si>
  <si>
    <t>Start the EVALS20033 v00 for Loss Comm min 120 data point for TE82882-8, 11 and 13</t>
  </si>
  <si>
    <t>TE82882-8 and 13 noticed that still having high failure of loss comm</t>
  </si>
  <si>
    <t>TE82882-8 Eric Turner not able to connect onto the instrument using Measurement and Computing relay box, suggest to connect directly to the LAN Card byapssing the switching.</t>
  </si>
  <si>
    <t>TE82882-8 follow as per advise to connect directly to the LAN Card byapssing the switching.and collect data</t>
  </si>
  <si>
    <t>TE82882-13 found to have postion 3 header issue / replaced header and continue data collection.</t>
  </si>
  <si>
    <t>TE82882-11 observed to use only on model to run and showing good loss comm result (2998 family only) - dat collection in progress</t>
  </si>
  <si>
    <t>Loss Comm Time Line:</t>
  </si>
  <si>
    <t>Manual Data Collection (EVALS20033 13 Oct 2020 to 31 Dec 2020 )</t>
  </si>
  <si>
    <t>Total Units Tested Data : as of 31 Dec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</si>
</sst>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8" x14ac:knownFonts="1"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1"/>
      <color rgb="FF000000"/>
      <name val="Arial"/>
      <family val="2"/>
    </font>
    <font>
      <b/>
      <sz val="8"/>
      <color rgb="FF000000"/>
      <name val="Arial"/>
      <family val="2"/>
    </font>
    <font>
      <sz val="12"/>
      <color indexed="81"/>
      <name val="Tahoma"/>
      <family val="2"/>
    </font>
    <font>
      <sz val="12"/>
      <color indexed="81"/>
      <name val="Arial"/>
      <family val="2"/>
    </font>
    <font>
      <b/>
      <sz val="11"/>
      <color theme="1"/>
      <name val="Arial"/>
      <family val="2"/>
    </font>
    <font>
      <b/>
      <sz val="12"/>
      <color indexed="81"/>
      <name val="Tahoma"/>
      <family val="2"/>
    </font>
    <font>
      <sz val="11"/>
      <color theme="1"/>
      <name val="Arial"/>
      <family val="2"/>
    </font>
    <font>
      <sz val="9"/>
      <color rgb="FF000000"/>
      <name val="Arial"/>
      <family val="2"/>
    </font>
    <font>
      <sz val="11"/>
      <color rgb="FF000000"/>
      <name val="Calibri"/>
      <family val="2"/>
      <scheme val="minor"/>
    </font>
    <font>
      <b/>
      <u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  <font>
      <sz val="10"/>
      <color rgb="FF0000FF"/>
      <name val="Arial"/>
      <family val="2"/>
    </font>
    <font>
      <sz val="11"/>
      <color rgb="FF000000"/>
      <name val="Century Gothic"/>
      <family val="2"/>
    </font>
    <font>
      <b/>
      <sz val="11"/>
      <color rgb="FF000000"/>
      <name val="Century Gothic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4" fillId="0" borderId="0" applyFont="0" applyFill="0" applyBorder="0" applyAlignment="0" applyProtection="0"/>
  </cellStyleXfs>
  <cellXfs count="354">
    <xf numFmtId="0" fontId="0" fillId="0" borderId="0" xfId="0" applyFont="1" applyFill="1" applyBorder="1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0" fontId="1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0" fontId="1" fillId="8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10" fontId="1" fillId="9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10" fontId="4" fillId="5" borderId="1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10" fontId="4" fillId="5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10" fontId="4" fillId="3" borderId="5" xfId="0" applyNumberFormat="1" applyFont="1" applyFill="1" applyBorder="1" applyAlignment="1">
      <alignment horizontal="center" vertical="center"/>
    </xf>
    <xf numFmtId="10" fontId="4" fillId="0" borderId="5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15" fontId="7" fillId="0" borderId="10" xfId="0" applyNumberFormat="1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2" borderId="10" xfId="0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10" fontId="4" fillId="0" borderId="15" xfId="0" applyNumberFormat="1" applyFont="1" applyFill="1" applyBorder="1" applyAlignment="1">
      <alignment horizontal="center" vertical="center"/>
    </xf>
    <xf numFmtId="10" fontId="4" fillId="3" borderId="15" xfId="0" applyNumberFormat="1" applyFont="1" applyFill="1" applyBorder="1" applyAlignment="1">
      <alignment horizontal="center" vertical="center"/>
    </xf>
    <xf numFmtId="10" fontId="4" fillId="5" borderId="15" xfId="0" applyNumberFormat="1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10" fontId="4" fillId="0" borderId="17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10" fontId="4" fillId="5" borderId="0" xfId="0" applyNumberFormat="1" applyFont="1" applyFill="1" applyBorder="1" applyAlignment="1">
      <alignment horizontal="center" vertical="center"/>
    </xf>
    <xf numFmtId="0" fontId="6" fillId="5" borderId="0" xfId="0" applyFont="1" applyFill="1" applyBorder="1" applyAlignment="1">
      <alignment vertical="top" wrapText="1"/>
    </xf>
    <xf numFmtId="0" fontId="6" fillId="5" borderId="0" xfId="0" applyFont="1" applyFill="1" applyBorder="1" applyAlignment="1">
      <alignment vertical="top"/>
    </xf>
    <xf numFmtId="0" fontId="6" fillId="5" borderId="0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left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7" borderId="19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10" fontId="4" fillId="3" borderId="19" xfId="0" applyNumberFormat="1" applyFont="1" applyFill="1" applyBorder="1" applyAlignment="1">
      <alignment horizontal="center" vertical="center"/>
    </xf>
    <xf numFmtId="10" fontId="4" fillId="5" borderId="19" xfId="0" applyNumberFormat="1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7" borderId="23" xfId="0" applyFont="1" applyFill="1" applyBorder="1" applyAlignment="1">
      <alignment horizontal="center" vertical="center"/>
    </xf>
    <xf numFmtId="10" fontId="4" fillId="0" borderId="23" xfId="0" applyNumberFormat="1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/>
    </xf>
    <xf numFmtId="10" fontId="4" fillId="0" borderId="24" xfId="0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/>
    </xf>
    <xf numFmtId="10" fontId="4" fillId="0" borderId="26" xfId="0" applyNumberFormat="1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vertical="top" wrapText="1"/>
    </xf>
    <xf numFmtId="0" fontId="6" fillId="2" borderId="18" xfId="0" applyFont="1" applyFill="1" applyBorder="1" applyAlignment="1">
      <alignment horizontal="center" vertical="top" wrapText="1"/>
    </xf>
    <xf numFmtId="0" fontId="4" fillId="0" borderId="27" xfId="0" applyFont="1" applyFill="1" applyBorder="1" applyAlignment="1">
      <alignment horizontal="left" vertical="center"/>
    </xf>
    <xf numFmtId="9" fontId="4" fillId="5" borderId="19" xfId="1" applyFont="1" applyFill="1" applyBorder="1" applyAlignment="1">
      <alignment horizontal="center" vertical="center"/>
    </xf>
    <xf numFmtId="9" fontId="12" fillId="0" borderId="24" xfId="1" applyFont="1" applyFill="1" applyBorder="1" applyAlignment="1">
      <alignment horizontal="center" vertical="center"/>
    </xf>
    <xf numFmtId="9" fontId="4" fillId="0" borderId="26" xfId="1" applyFont="1" applyFill="1" applyBorder="1" applyAlignment="1">
      <alignment horizontal="center" vertical="center"/>
    </xf>
    <xf numFmtId="10" fontId="4" fillId="0" borderId="19" xfId="0" applyNumberFormat="1" applyFont="1" applyFill="1" applyBorder="1" applyAlignment="1">
      <alignment horizontal="center" vertical="center"/>
    </xf>
    <xf numFmtId="10" fontId="4" fillId="0" borderId="27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/>
    </xf>
    <xf numFmtId="0" fontId="13" fillId="2" borderId="21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left" vertical="top"/>
    </xf>
    <xf numFmtId="0" fontId="4" fillId="0" borderId="21" xfId="0" applyFont="1" applyFill="1" applyBorder="1" applyAlignment="1">
      <alignment horizontal="left" vertical="top"/>
    </xf>
    <xf numFmtId="0" fontId="4" fillId="5" borderId="13" xfId="0" applyFont="1" applyFill="1" applyBorder="1" applyAlignment="1">
      <alignment horizontal="left" vertical="top"/>
    </xf>
    <xf numFmtId="0" fontId="4" fillId="5" borderId="21" xfId="0" applyFont="1" applyFill="1" applyBorder="1" applyAlignment="1">
      <alignment horizontal="left" vertical="top"/>
    </xf>
    <xf numFmtId="0" fontId="4" fillId="0" borderId="16" xfId="0" applyFont="1" applyFill="1" applyBorder="1" applyAlignment="1">
      <alignment horizontal="left" vertical="top"/>
    </xf>
    <xf numFmtId="0" fontId="4" fillId="0" borderId="22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10" fontId="4" fillId="0" borderId="1" xfId="0" applyNumberFormat="1" applyFont="1" applyFill="1" applyBorder="1" applyAlignment="1">
      <alignment horizontal="left" vertical="top"/>
    </xf>
    <xf numFmtId="0" fontId="4" fillId="7" borderId="1" xfId="0" applyFont="1" applyFill="1" applyBorder="1" applyAlignment="1">
      <alignment horizontal="left" vertical="top"/>
    </xf>
    <xf numFmtId="10" fontId="4" fillId="5" borderId="1" xfId="0" applyNumberFormat="1" applyFont="1" applyFill="1" applyBorder="1" applyAlignment="1">
      <alignment horizontal="left" vertical="top"/>
    </xf>
    <xf numFmtId="10" fontId="4" fillId="0" borderId="3" xfId="0" applyNumberFormat="1" applyFont="1" applyFill="1" applyBorder="1" applyAlignment="1">
      <alignment horizontal="left" vertical="top"/>
    </xf>
    <xf numFmtId="10" fontId="4" fillId="5" borderId="3" xfId="0" applyNumberFormat="1" applyFont="1" applyFill="1" applyBorder="1" applyAlignment="1">
      <alignment horizontal="left" vertical="top"/>
    </xf>
    <xf numFmtId="0" fontId="16" fillId="0" borderId="1" xfId="0" applyFont="1" applyFill="1" applyBorder="1" applyAlignment="1">
      <alignment horizontal="left" vertical="top"/>
    </xf>
    <xf numFmtId="0" fontId="16" fillId="0" borderId="0" xfId="0" applyFont="1" applyFill="1" applyBorder="1" applyAlignment="1">
      <alignment horizontal="left" vertical="top"/>
    </xf>
    <xf numFmtId="0" fontId="17" fillId="0" borderId="0" xfId="0" applyFont="1" applyFill="1" applyBorder="1" applyAlignment="1">
      <alignment horizontal="left" vertical="top"/>
    </xf>
    <xf numFmtId="15" fontId="18" fillId="0" borderId="1" xfId="0" applyNumberFormat="1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20" fillId="0" borderId="1" xfId="0" applyFont="1" applyFill="1" applyBorder="1" applyAlignment="1">
      <alignment horizontal="left" vertical="top"/>
    </xf>
    <xf numFmtId="0" fontId="18" fillId="0" borderId="0" xfId="0" quotePrefix="1" applyFont="1" applyFill="1" applyBorder="1" applyAlignment="1">
      <alignment horizontal="left" vertical="top" wrapText="1"/>
    </xf>
    <xf numFmtId="10" fontId="18" fillId="0" borderId="0" xfId="0" applyNumberFormat="1" applyFont="1" applyFill="1" applyBorder="1" applyAlignment="1">
      <alignment horizontal="left" vertical="top"/>
    </xf>
    <xf numFmtId="0" fontId="18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/>
    </xf>
    <xf numFmtId="15" fontId="18" fillId="0" borderId="1" xfId="0" applyNumberFormat="1" applyFont="1" applyFill="1" applyBorder="1" applyAlignment="1">
      <alignment horizontal="center" vertical="top"/>
    </xf>
    <xf numFmtId="0" fontId="18" fillId="0" borderId="1" xfId="0" quotePrefix="1" applyFont="1" applyFill="1" applyBorder="1" applyAlignment="1">
      <alignment horizontal="center" vertical="top" wrapText="1"/>
    </xf>
    <xf numFmtId="15" fontId="18" fillId="0" borderId="1" xfId="0" quotePrefix="1" applyNumberFormat="1" applyFont="1" applyFill="1" applyBorder="1" applyAlignment="1">
      <alignment horizontal="center" vertical="top" wrapText="1"/>
    </xf>
    <xf numFmtId="0" fontId="12" fillId="0" borderId="26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/>
    </xf>
    <xf numFmtId="10" fontId="4" fillId="7" borderId="19" xfId="0" applyNumberFormat="1" applyFont="1" applyFill="1" applyBorder="1" applyAlignment="1">
      <alignment horizontal="center" vertical="center"/>
    </xf>
    <xf numFmtId="10" fontId="4" fillId="7" borderId="26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top" wrapText="1"/>
    </xf>
    <xf numFmtId="0" fontId="10" fillId="2" borderId="10" xfId="0" applyFont="1" applyFill="1" applyBorder="1" applyAlignment="1">
      <alignment horizontal="center" vertical="top" wrapText="1"/>
    </xf>
    <xf numFmtId="0" fontId="10" fillId="2" borderId="34" xfId="0" applyFont="1" applyFill="1" applyBorder="1" applyAlignment="1">
      <alignment vertical="top" wrapText="1"/>
    </xf>
    <xf numFmtId="0" fontId="12" fillId="0" borderId="13" xfId="0" applyFont="1" applyFill="1" applyBorder="1" applyAlignment="1">
      <alignment horizontal="center" vertical="center"/>
    </xf>
    <xf numFmtId="10" fontId="12" fillId="5" borderId="15" xfId="0" applyNumberFormat="1" applyFont="1" applyFill="1" applyBorder="1" applyAlignment="1">
      <alignment horizontal="center" vertical="center"/>
    </xf>
    <xf numFmtId="0" fontId="12" fillId="7" borderId="13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2" fillId="0" borderId="36" xfId="0" applyFont="1" applyFill="1" applyBorder="1" applyAlignment="1">
      <alignment horizontal="center" vertical="center"/>
    </xf>
    <xf numFmtId="10" fontId="12" fillId="5" borderId="37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top" wrapText="1"/>
    </xf>
    <xf numFmtId="0" fontId="6" fillId="2" borderId="3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10" fontId="12" fillId="3" borderId="15" xfId="0" applyNumberFormat="1" applyFont="1" applyFill="1" applyBorder="1" applyAlignment="1">
      <alignment horizontal="center" vertical="center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center" vertical="center"/>
    </xf>
    <xf numFmtId="0" fontId="23" fillId="2" borderId="28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0" borderId="29" xfId="0" applyFont="1" applyFill="1" applyBorder="1" applyAlignment="1">
      <alignment horizontal="left" vertical="center"/>
    </xf>
    <xf numFmtId="15" fontId="22" fillId="0" borderId="1" xfId="0" applyNumberFormat="1" applyFont="1" applyFill="1" applyBorder="1"/>
    <xf numFmtId="0" fontId="22" fillId="0" borderId="1" xfId="0" applyFont="1" applyFill="1" applyBorder="1"/>
    <xf numFmtId="164" fontId="22" fillId="0" borderId="1" xfId="0" applyNumberFormat="1" applyFont="1" applyFill="1" applyBorder="1" applyAlignment="1">
      <alignment horizontal="center" vertical="center"/>
    </xf>
    <xf numFmtId="15" fontId="22" fillId="0" borderId="1" xfId="0" applyNumberFormat="1" applyFont="1" applyFill="1" applyBorder="1" applyAlignment="1">
      <alignment horizontal="center" vertical="center"/>
    </xf>
    <xf numFmtId="0" fontId="22" fillId="0" borderId="30" xfId="0" applyFont="1" applyFill="1" applyBorder="1" applyAlignment="1">
      <alignment horizontal="left" vertical="center"/>
    </xf>
    <xf numFmtId="0" fontId="22" fillId="5" borderId="30" xfId="0" applyFont="1" applyFill="1" applyBorder="1" applyAlignment="1">
      <alignment horizontal="left" vertical="center"/>
    </xf>
    <xf numFmtId="0" fontId="22" fillId="0" borderId="31" xfId="0" applyFont="1" applyFill="1" applyBorder="1" applyAlignment="1">
      <alignment horizontal="left" vertical="center"/>
    </xf>
    <xf numFmtId="0" fontId="6" fillId="10" borderId="18" xfId="0" applyFont="1" applyFill="1" applyBorder="1" applyAlignment="1">
      <alignment horizontal="center" vertical="top" wrapText="1"/>
    </xf>
    <xf numFmtId="0" fontId="4" fillId="10" borderId="26" xfId="0" applyFont="1" applyFill="1" applyBorder="1" applyAlignment="1">
      <alignment horizontal="center" vertical="center"/>
    </xf>
    <xf numFmtId="0" fontId="4" fillId="10" borderId="19" xfId="0" applyFont="1" applyFill="1" applyBorder="1" applyAlignment="1">
      <alignment horizontal="center" vertic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0" fontId="3" fillId="5" borderId="19" xfId="0" applyNumberFormat="1" applyFont="1" applyFill="1" applyBorder="1" applyAlignment="1">
      <alignment horizontal="center" vertical="center"/>
    </xf>
    <xf numFmtId="0" fontId="4" fillId="5" borderId="26" xfId="0" applyFont="1" applyFill="1" applyBorder="1" applyAlignment="1">
      <alignment horizontal="left" vertical="center"/>
    </xf>
    <xf numFmtId="9" fontId="4" fillId="5" borderId="23" xfId="1" applyFont="1" applyFill="1" applyBorder="1" applyAlignment="1">
      <alignment horizontal="center" vertical="center"/>
    </xf>
    <xf numFmtId="10" fontId="4" fillId="0" borderId="29" xfId="0" applyNumberFormat="1" applyFont="1" applyFill="1" applyBorder="1" applyAlignment="1">
      <alignment horizontal="center" vertical="center"/>
    </xf>
    <xf numFmtId="10" fontId="4" fillId="0" borderId="30" xfId="0" applyNumberFormat="1" applyFont="1" applyFill="1" applyBorder="1" applyAlignment="1">
      <alignment horizontal="center" vertical="center"/>
    </xf>
    <xf numFmtId="10" fontId="4" fillId="5" borderId="30" xfId="0" applyNumberFormat="1" applyFont="1" applyFill="1" applyBorder="1" applyAlignment="1">
      <alignment horizontal="center" vertical="center"/>
    </xf>
    <xf numFmtId="10" fontId="4" fillId="0" borderId="38" xfId="0" applyNumberFormat="1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10" fontId="4" fillId="9" borderId="21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10" fontId="4" fillId="9" borderId="13" xfId="0" applyNumberFormat="1" applyFont="1" applyFill="1" applyBorder="1" applyAlignment="1">
      <alignment horizontal="center" vertical="center"/>
    </xf>
    <xf numFmtId="10" fontId="4" fillId="9" borderId="35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/>
    </xf>
    <xf numFmtId="10" fontId="4" fillId="5" borderId="35" xfId="0" applyNumberFormat="1" applyFont="1" applyFill="1" applyBorder="1" applyAlignment="1">
      <alignment horizontal="center" vertical="center"/>
    </xf>
    <xf numFmtId="10" fontId="4" fillId="9" borderId="15" xfId="0" applyNumberFormat="1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left" vertical="center" wrapText="1"/>
    </xf>
    <xf numFmtId="17" fontId="6" fillId="2" borderId="10" xfId="0" applyNumberFormat="1" applyFont="1" applyFill="1" applyBorder="1" applyAlignment="1">
      <alignment horizontal="center" vertical="center"/>
    </xf>
    <xf numFmtId="17" fontId="6" fillId="2" borderId="34" xfId="0" applyNumberFormat="1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left" vertical="center"/>
    </xf>
    <xf numFmtId="0" fontId="19" fillId="5" borderId="1" xfId="0" applyFont="1" applyFill="1" applyBorder="1" applyAlignment="1">
      <alignment horizontal="center" vertical="center"/>
    </xf>
    <xf numFmtId="0" fontId="19" fillId="5" borderId="15" xfId="0" applyFont="1" applyFill="1" applyBorder="1" applyAlignment="1">
      <alignment horizontal="center" vertical="center"/>
    </xf>
    <xf numFmtId="0" fontId="17" fillId="5" borderId="13" xfId="0" applyFont="1" applyFill="1" applyBorder="1" applyAlignment="1">
      <alignment horizontal="left" vertical="center" wrapText="1"/>
    </xf>
    <xf numFmtId="10" fontId="17" fillId="5" borderId="1" xfId="0" applyNumberFormat="1" applyFont="1" applyFill="1" applyBorder="1" applyAlignment="1">
      <alignment horizontal="center" vertical="center"/>
    </xf>
    <xf numFmtId="10" fontId="17" fillId="5" borderId="15" xfId="0" applyNumberFormat="1" applyFont="1" applyFill="1" applyBorder="1" applyAlignment="1">
      <alignment horizontal="center" vertical="center"/>
    </xf>
    <xf numFmtId="10" fontId="17" fillId="6" borderId="1" xfId="0" applyNumberFormat="1" applyFont="1" applyFill="1" applyBorder="1" applyAlignment="1">
      <alignment horizontal="center" vertical="center"/>
    </xf>
    <xf numFmtId="0" fontId="1" fillId="0" borderId="35" xfId="0" applyFont="1" applyBorder="1"/>
    <xf numFmtId="10" fontId="1" fillId="0" borderId="36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9" fillId="12" borderId="1" xfId="0" applyFont="1" applyFill="1" applyBorder="1" applyAlignment="1">
      <alignment horizontal="center" vertical="center"/>
    </xf>
    <xf numFmtId="10" fontId="17" fillId="12" borderId="1" xfId="0" applyNumberFormat="1" applyFont="1" applyFill="1" applyBorder="1" applyAlignment="1">
      <alignment horizontal="center" vertical="center"/>
    </xf>
    <xf numFmtId="10" fontId="0" fillId="0" borderId="0" xfId="0" applyNumberFormat="1" applyFont="1" applyFill="1" applyBorder="1"/>
    <xf numFmtId="0" fontId="18" fillId="0" borderId="1" xfId="0" applyFont="1" applyFill="1" applyBorder="1" applyAlignment="1">
      <alignment horizontal="left" vertical="top" wrapText="1"/>
    </xf>
    <xf numFmtId="0" fontId="4" fillId="0" borderId="0" xfId="0" applyFont="1" applyFill="1" applyBorder="1"/>
    <xf numFmtId="10" fontId="4" fillId="0" borderId="0" xfId="0" applyNumberFormat="1" applyFont="1" applyFill="1" applyBorder="1"/>
    <xf numFmtId="10" fontId="17" fillId="3" borderId="1" xfId="0" applyNumberFormat="1" applyFont="1" applyFill="1" applyBorder="1" applyAlignment="1">
      <alignment horizontal="center" vertical="center"/>
    </xf>
    <xf numFmtId="0" fontId="26" fillId="6" borderId="1" xfId="0" applyFont="1" applyFill="1" applyBorder="1" applyAlignment="1">
      <alignment horizontal="left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7" fillId="0" borderId="0" xfId="0" applyFont="1" applyFill="1" applyBorder="1"/>
    <xf numFmtId="0" fontId="17" fillId="5" borderId="1" xfId="0" applyFont="1" applyFill="1" applyBorder="1" applyAlignment="1">
      <alignment horizontal="left" vertical="center"/>
    </xf>
    <xf numFmtId="0" fontId="17" fillId="5" borderId="1" xfId="0" applyFont="1" applyFill="1" applyBorder="1" applyAlignment="1">
      <alignment horizontal="left" vertical="center" wrapText="1"/>
    </xf>
    <xf numFmtId="0" fontId="1" fillId="3" borderId="1" xfId="0" applyFont="1" applyFill="1" applyBorder="1"/>
    <xf numFmtId="0" fontId="19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7" fontId="6" fillId="2" borderId="1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/>
    <xf numFmtId="17" fontId="4" fillId="0" borderId="1" xfId="0" applyNumberFormat="1" applyFont="1" applyFill="1" applyBorder="1"/>
    <xf numFmtId="10" fontId="4" fillId="0" borderId="1" xfId="0" applyNumberFormat="1" applyFont="1" applyFill="1" applyBorder="1"/>
    <xf numFmtId="0" fontId="16" fillId="0" borderId="4" xfId="0" applyFont="1" applyFill="1" applyBorder="1" applyAlignment="1">
      <alignment horizontal="left" vertical="top"/>
    </xf>
    <xf numFmtId="0" fontId="12" fillId="0" borderId="35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17" fontId="6" fillId="2" borderId="1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/>
    </xf>
    <xf numFmtId="0" fontId="6" fillId="2" borderId="20" xfId="0" applyFont="1" applyFill="1" applyBorder="1" applyAlignment="1">
      <alignment horizontal="center" vertical="top" wrapText="1"/>
    </xf>
    <xf numFmtId="0" fontId="13" fillId="2" borderId="21" xfId="0" applyFont="1" applyFill="1" applyBorder="1" applyAlignment="1">
      <alignment horizontal="center" vertical="top"/>
    </xf>
    <xf numFmtId="0" fontId="4" fillId="0" borderId="21" xfId="0" applyFont="1" applyFill="1" applyBorder="1" applyAlignment="1">
      <alignment horizontal="center" vertical="top"/>
    </xf>
    <xf numFmtId="0" fontId="4" fillId="5" borderId="21" xfId="0" applyFont="1" applyFill="1" applyBorder="1" applyAlignment="1">
      <alignment horizontal="center" vertical="top"/>
    </xf>
    <xf numFmtId="0" fontId="4" fillId="0" borderId="22" xfId="0" applyFont="1" applyFill="1" applyBorder="1" applyAlignment="1">
      <alignment horizontal="center" vertical="top"/>
    </xf>
    <xf numFmtId="17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0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26" fillId="6" borderId="1" xfId="0" applyFont="1" applyFill="1" applyBorder="1" applyAlignment="1">
      <alignment horizontal="center" wrapText="1"/>
    </xf>
    <xf numFmtId="0" fontId="19" fillId="5" borderId="1" xfId="0" applyFont="1" applyFill="1" applyBorder="1" applyAlignment="1">
      <alignment horizontal="center"/>
    </xf>
    <xf numFmtId="10" fontId="17" fillId="5" borderId="1" xfId="0" applyNumberFormat="1" applyFont="1" applyFill="1" applyBorder="1" applyAlignment="1">
      <alignment horizontal="center"/>
    </xf>
    <xf numFmtId="10" fontId="17" fillId="3" borderId="1" xfId="0" applyNumberFormat="1" applyFont="1" applyFill="1" applyBorder="1" applyAlignment="1">
      <alignment horizontal="center"/>
    </xf>
    <xf numFmtId="10" fontId="1" fillId="3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left" vertical="top"/>
    </xf>
    <xf numFmtId="164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10" fontId="17" fillId="5" borderId="2" xfId="0" applyNumberFormat="1" applyFont="1" applyFill="1" applyBorder="1" applyAlignment="1">
      <alignment horizontal="center" vertical="center"/>
    </xf>
    <xf numFmtId="10" fontId="1" fillId="3" borderId="2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/>
    </xf>
    <xf numFmtId="0" fontId="1" fillId="0" borderId="50" xfId="0" applyFont="1" applyBorder="1"/>
    <xf numFmtId="0" fontId="6" fillId="0" borderId="1" xfId="0" applyFont="1" applyFill="1" applyBorder="1" applyAlignment="1">
      <alignment horizontal="center" vertical="center"/>
    </xf>
    <xf numFmtId="10" fontId="10" fillId="0" borderId="36" xfId="0" applyNumberFormat="1" applyFont="1" applyFill="1" applyBorder="1" applyAlignment="1">
      <alignment horizontal="center" vertical="center"/>
    </xf>
    <xf numFmtId="10" fontId="6" fillId="0" borderId="36" xfId="0" applyNumberFormat="1" applyFont="1" applyFill="1" applyBorder="1" applyAlignment="1">
      <alignment horizontal="center" vertical="center"/>
    </xf>
    <xf numFmtId="10" fontId="6" fillId="0" borderId="37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/>
    </xf>
    <xf numFmtId="0" fontId="4" fillId="14" borderId="1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10" fontId="6" fillId="13" borderId="1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/>
    </xf>
    <xf numFmtId="0" fontId="6" fillId="2" borderId="14" xfId="0" applyFont="1" applyFill="1" applyBorder="1" applyAlignment="1">
      <alignment horizontal="center" vertical="top"/>
    </xf>
    <xf numFmtId="0" fontId="6" fillId="11" borderId="13" xfId="0" applyFont="1" applyFill="1" applyBorder="1" applyAlignment="1">
      <alignment horizontal="center" vertical="center"/>
    </xf>
    <xf numFmtId="0" fontId="6" fillId="11" borderId="15" xfId="0" applyFont="1" applyFill="1" applyBorder="1" applyAlignment="1">
      <alignment horizontal="center" vertical="center"/>
    </xf>
    <xf numFmtId="0" fontId="6" fillId="11" borderId="21" xfId="0" applyFont="1" applyFill="1" applyBorder="1" applyAlignment="1">
      <alignment horizontal="center" vertical="center"/>
    </xf>
    <xf numFmtId="0" fontId="6" fillId="11" borderId="2" xfId="0" applyFont="1" applyFill="1" applyBorder="1" applyAlignment="1">
      <alignment horizontal="center" vertical="center"/>
    </xf>
    <xf numFmtId="0" fontId="18" fillId="0" borderId="1" xfId="0" quotePrefix="1" applyFont="1" applyFill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0" fontId="16" fillId="0" borderId="42" xfId="0" applyFont="1" applyFill="1" applyBorder="1" applyAlignment="1">
      <alignment horizontal="left" vertical="top"/>
    </xf>
    <xf numFmtId="0" fontId="16" fillId="0" borderId="48" xfId="0" applyFont="1" applyFill="1" applyBorder="1" applyAlignment="1">
      <alignment horizontal="left" vertical="top"/>
    </xf>
    <xf numFmtId="0" fontId="16" fillId="0" borderId="32" xfId="0" applyFont="1" applyFill="1" applyBorder="1" applyAlignment="1">
      <alignment horizontal="left" vertical="top"/>
    </xf>
    <xf numFmtId="0" fontId="16" fillId="0" borderId="21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horizontal="left" vertical="top" wrapText="1"/>
    </xf>
    <xf numFmtId="0" fontId="18" fillId="0" borderId="32" xfId="0" applyFont="1" applyFill="1" applyBorder="1" applyAlignment="1">
      <alignment horizontal="left" vertical="top"/>
    </xf>
    <xf numFmtId="0" fontId="18" fillId="0" borderId="21" xfId="0" applyFont="1" applyFill="1" applyBorder="1" applyAlignment="1">
      <alignment horizontal="left" vertical="top"/>
    </xf>
    <xf numFmtId="0" fontId="18" fillId="0" borderId="32" xfId="0" applyFont="1" applyFill="1" applyBorder="1" applyAlignment="1">
      <alignment horizontal="left" vertical="top" wrapText="1"/>
    </xf>
    <xf numFmtId="0" fontId="18" fillId="0" borderId="21" xfId="0" applyFont="1" applyFill="1" applyBorder="1" applyAlignment="1">
      <alignment horizontal="left" vertical="top" wrapText="1"/>
    </xf>
    <xf numFmtId="0" fontId="1" fillId="2" borderId="45" xfId="0" applyFont="1" applyFill="1" applyBorder="1" applyAlignment="1">
      <alignment horizontal="left" vertical="top" wrapText="1"/>
    </xf>
    <xf numFmtId="0" fontId="1" fillId="2" borderId="46" xfId="0" applyFont="1" applyFill="1" applyBorder="1" applyAlignment="1">
      <alignment horizontal="left" vertical="top" wrapText="1"/>
    </xf>
    <xf numFmtId="0" fontId="1" fillId="2" borderId="44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center"/>
    </xf>
    <xf numFmtId="0" fontId="1" fillId="2" borderId="47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top" wrapText="1"/>
    </xf>
    <xf numFmtId="0" fontId="1" fillId="2" borderId="48" xfId="0" applyFont="1" applyFill="1" applyBorder="1" applyAlignment="1">
      <alignment horizontal="center" vertical="top" wrapText="1"/>
    </xf>
    <xf numFmtId="0" fontId="16" fillId="0" borderId="2" xfId="0" applyFont="1" applyFill="1" applyBorder="1" applyAlignment="1">
      <alignment horizontal="left" vertical="top"/>
    </xf>
  </cellXfs>
  <cellStyles count="2">
    <cellStyle name="Normal" xfId="0" builtinId="0"/>
    <cellStyle name="Percent" xfId="1" builtinId="5"/>
  </cellStyles>
  <dxfs count="79"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</dxf>
    <dxf>
      <font>
        <b/>
        <i val="0"/>
        <color rgb="FF00B05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ont>
        <strike val="0"/>
      </font>
      <fill>
        <patternFill>
          <bgColor rgb="FF92D050"/>
        </patternFill>
      </fill>
    </dxf>
    <dxf>
      <fill>
        <patternFill>
          <bgColor theme="9" tint="0.59996337778862885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ont>
        <strike val="0"/>
        <color theme="1"/>
      </font>
      <fill>
        <patternFill>
          <bgColor theme="6" tint="0.39994506668294322"/>
        </patternFill>
      </fill>
    </dxf>
    <dxf>
      <font>
        <strike val="0"/>
        <color theme="1"/>
      </font>
      <fill>
        <patternFill>
          <bgColor theme="9" tint="0.59996337778862885"/>
        </patternFill>
      </fill>
    </dxf>
    <dxf>
      <fill>
        <patternFill>
          <bgColor theme="6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B0C4DE"/>
      <rgbColor rgb="00C0C0C0"/>
      <rgbColor rgb="00F0FFFF"/>
      <rgbColor rgb="00F5F5F5"/>
      <rgbColor rgb="0000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'Weekly SS7 Data'!$A$25</c:f>
              <c:strCache>
                <c:ptCount val="1"/>
                <c:pt idx="0">
                  <c:v>FPY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'Weekly SS7 Data'!$B$22:$H$22</c:f>
              <c:strCache>
                <c:ptCount val="7"/>
                <c:pt idx="0">
                  <c:v>TE82882-8</c:v>
                </c:pt>
                <c:pt idx="1">
                  <c:v>TE82882-9</c:v>
                </c:pt>
                <c:pt idx="2">
                  <c:v>TE82882-10</c:v>
                </c:pt>
                <c:pt idx="3">
                  <c:v>TE82882-11</c:v>
                </c:pt>
                <c:pt idx="4">
                  <c:v>TE82882-13</c:v>
                </c:pt>
                <c:pt idx="5">
                  <c:v>TE82882-14</c:v>
                </c:pt>
                <c:pt idx="6">
                  <c:v>Total</c:v>
                </c:pt>
              </c:strCache>
            </c:strRef>
          </c:cat>
          <c:val>
            <c:numRef>
              <c:f>'Weekly SS7 Data'!$B$25:$H$25</c:f>
              <c:numCache>
                <c:formatCode>0.00%</c:formatCode>
                <c:ptCount val="7"/>
                <c:pt idx="0">
                  <c:v>0.65454545454545454</c:v>
                </c:pt>
                <c:pt idx="1">
                  <c:v>0.95049504950495045</c:v>
                </c:pt>
                <c:pt idx="2">
                  <c:v>0.86170212765957444</c:v>
                </c:pt>
                <c:pt idx="3">
                  <c:v>0.58139534883720922</c:v>
                </c:pt>
                <c:pt idx="4">
                  <c:v>0.61702127659574468</c:v>
                </c:pt>
                <c:pt idx="5">
                  <c:v>0.88349514563106801</c:v>
                </c:pt>
                <c:pt idx="6">
                  <c:v>0.80812641083521441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BB-48E6-B0CD-13B26FF23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2963455"/>
        <c:axId val="228322511"/>
      </c:barChart>
      <c:catAx>
        <c:axId val="312963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8322511"/>
        <c:crosses val="autoZero"/>
        <c:auto val="1"/>
        <c:lblAlgn val="ctr"/>
        <c:lblOffset val="100"/>
        <c:noMultiLvlLbl val="0"/>
      </c:catAx>
      <c:valAx>
        <c:axId val="228322511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bg1"/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2963455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TE2882 PDA FINAL TESTER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'PN per Tester (2)'!$A$5</c:f>
              <c:strCache>
                <c:ptCount val="1"/>
                <c:pt idx="0">
                  <c:v>FPY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'PN per Tester (2)'!$B$2:$G$2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'PN per Tester (2)'!$B$5:$G$5</c:f>
              <c:numCache>
                <c:formatCode>0.00%</c:formatCode>
                <c:ptCount val="3"/>
                <c:pt idx="0">
                  <c:v>0.3125</c:v>
                </c:pt>
                <c:pt idx="1">
                  <c:v>0.73913043478260865</c:v>
                </c:pt>
                <c:pt idx="2">
                  <c:v>0.5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D7-4F2E-91FA-B8568EFA9A3B}"/>
            </c:ext>
          </c:extLst>
        </c:ser>
        <c:ser>
          <c:idx val="1"/>
          <c:order val="1"/>
          <c:tx>
            <c:strRef>
              <c:f>'PN per Tester (2)'!$A$6</c:f>
              <c:strCache>
                <c:ptCount val="1"/>
                <c:pt idx="0">
                  <c:v>Baseline (EVALS20015)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'PN per Tester (2)'!$B$2:$G$2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'PN per Tester (2)'!$B$6:$G$6</c:f>
              <c:numCache>
                <c:formatCode>0.00%</c:formatCode>
                <c:ptCount val="3"/>
                <c:pt idx="0">
                  <c:v>0.55000000000000004</c:v>
                </c:pt>
                <c:pt idx="1">
                  <c:v>0.58000000000000007</c:v>
                </c:pt>
                <c:pt idx="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D7-4F2E-91FA-B8568EFA9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39078008"/>
        <c:axId val="339077024"/>
      </c:barChart>
      <c:lineChart>
        <c:grouping val="standard"/>
        <c:varyColors val="0"/>
        <c:ser>
          <c:idx val="2"/>
          <c:order val="2"/>
          <c:tx>
            <c:strRef>
              <c:f>'PN per Tester (2)'!$A$7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'PN per Tester (2)'!$B$2:$G$2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'PN per Tester (2)'!$B$7:$G$7</c:f>
              <c:numCache>
                <c:formatCode>0.00%</c:formatCode>
                <c:ptCount val="3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D7-4F2E-91FA-B8568EFA9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9057696"/>
        <c:axId val="339053760"/>
      </c:lineChart>
      <c:valAx>
        <c:axId val="339077024"/>
        <c:scaling>
          <c:orientation val="minMax"/>
        </c:scaling>
        <c:delete val="1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339078008"/>
        <c:crosses val="max"/>
        <c:crossBetween val="between"/>
      </c:valAx>
      <c:catAx>
        <c:axId val="339078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077024"/>
        <c:crosses val="autoZero"/>
        <c:auto val="1"/>
        <c:lblAlgn val="ctr"/>
        <c:lblOffset val="100"/>
        <c:noMultiLvlLbl val="0"/>
      </c:catAx>
      <c:valAx>
        <c:axId val="339053760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9057696"/>
        <c:crosses val="autoZero"/>
        <c:crossBetween val="between"/>
      </c:valAx>
      <c:catAx>
        <c:axId val="33905769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390537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/>
              <a:t>TE2882 PDA FINAL TESTER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Before!$J$5</c:f>
              <c:strCache>
                <c:ptCount val="1"/>
                <c:pt idx="0">
                  <c:v>FPY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Before!$K$5:$M$5</c:f>
              <c:numCache>
                <c:formatCode>0.00%</c:formatCode>
                <c:ptCount val="3"/>
                <c:pt idx="0">
                  <c:v>0</c:v>
                </c:pt>
                <c:pt idx="1">
                  <c:v>0.875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D0-4183-A2CC-B77D1A3534E0}"/>
            </c:ext>
          </c:extLst>
        </c:ser>
        <c:ser>
          <c:idx val="1"/>
          <c:order val="1"/>
          <c:tx>
            <c:strRef>
              <c:f>Before!$J$6</c:f>
              <c:strCache>
                <c:ptCount val="1"/>
                <c:pt idx="0">
                  <c:v>Baseline (EVALS20015)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Before!$K$6:$M$6</c:f>
              <c:numCache>
                <c:formatCode>0.00%</c:formatCode>
                <c:ptCount val="3"/>
                <c:pt idx="0">
                  <c:v>0.55000000000000004</c:v>
                </c:pt>
                <c:pt idx="1">
                  <c:v>0.58000000000000007</c:v>
                </c:pt>
                <c:pt idx="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7D0-4183-A2CC-B77D1A353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478264"/>
        <c:axId val="100474000"/>
      </c:barChart>
      <c:lineChart>
        <c:grouping val="standard"/>
        <c:varyColors val="0"/>
        <c:ser>
          <c:idx val="2"/>
          <c:order val="2"/>
          <c:tx>
            <c:strRef>
              <c:f>Before!$J$7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Before!$K$7:$M$7</c:f>
              <c:numCache>
                <c:formatCode>0.00%</c:formatCode>
                <c:ptCount val="3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7D0-4183-A2CC-B77D1A3534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78264"/>
        <c:axId val="100474000"/>
      </c:lineChart>
      <c:catAx>
        <c:axId val="100478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4000"/>
        <c:crosses val="autoZero"/>
        <c:auto val="1"/>
        <c:lblAlgn val="ctr"/>
        <c:lblOffset val="100"/>
        <c:noMultiLvlLbl val="0"/>
      </c:catAx>
      <c:valAx>
        <c:axId val="10047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8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/>
              <a:t>TE2882 PDA FINAL TESTER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Before!$J$5</c:f>
              <c:strCache>
                <c:ptCount val="1"/>
                <c:pt idx="0">
                  <c:v>FPY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Before!$K$5:$M$5</c:f>
              <c:numCache>
                <c:formatCode>0.00%</c:formatCode>
                <c:ptCount val="3"/>
                <c:pt idx="0">
                  <c:v>0</c:v>
                </c:pt>
                <c:pt idx="1">
                  <c:v>0.875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FA-43ED-B423-EF347245ED0E}"/>
            </c:ext>
          </c:extLst>
        </c:ser>
        <c:ser>
          <c:idx val="1"/>
          <c:order val="1"/>
          <c:tx>
            <c:strRef>
              <c:f>Before!$J$6</c:f>
              <c:strCache>
                <c:ptCount val="1"/>
                <c:pt idx="0">
                  <c:v>Baseline (EVALS20015)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Before!$K$6:$M$6</c:f>
              <c:numCache>
                <c:formatCode>0.00%</c:formatCode>
                <c:ptCount val="3"/>
                <c:pt idx="0">
                  <c:v>0.55000000000000004</c:v>
                </c:pt>
                <c:pt idx="1">
                  <c:v>0.58000000000000007</c:v>
                </c:pt>
                <c:pt idx="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FA-43ED-B423-EF347245E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478264"/>
        <c:axId val="100474000"/>
      </c:barChart>
      <c:lineChart>
        <c:grouping val="standard"/>
        <c:varyColors val="0"/>
        <c:ser>
          <c:idx val="2"/>
          <c:order val="2"/>
          <c:tx>
            <c:strRef>
              <c:f>Before!$J$7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Before!$K$7:$M$7</c:f>
              <c:numCache>
                <c:formatCode>0.00%</c:formatCode>
                <c:ptCount val="3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7FA-43ED-B423-EF347245ED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78264"/>
        <c:axId val="100474000"/>
      </c:lineChart>
      <c:catAx>
        <c:axId val="100478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4000"/>
        <c:crosses val="autoZero"/>
        <c:auto val="1"/>
        <c:lblAlgn val="ctr"/>
        <c:lblOffset val="100"/>
        <c:noMultiLvlLbl val="0"/>
      </c:catAx>
      <c:valAx>
        <c:axId val="10047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8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/>
              <a:t>TE2882 PDA FINAL TESTER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Before!$J$5</c:f>
              <c:strCache>
                <c:ptCount val="1"/>
                <c:pt idx="0">
                  <c:v>FPY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Before!$K$5:$M$5</c:f>
              <c:numCache>
                <c:formatCode>0.00%</c:formatCode>
                <c:ptCount val="3"/>
                <c:pt idx="0">
                  <c:v>0</c:v>
                </c:pt>
                <c:pt idx="1">
                  <c:v>0.875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BD-44D0-BA69-7C6807B9CC01}"/>
            </c:ext>
          </c:extLst>
        </c:ser>
        <c:ser>
          <c:idx val="1"/>
          <c:order val="1"/>
          <c:tx>
            <c:strRef>
              <c:f>Before!$J$6</c:f>
              <c:strCache>
                <c:ptCount val="1"/>
                <c:pt idx="0">
                  <c:v>Baseline (EVALS20015)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Before!$K$6:$M$6</c:f>
              <c:numCache>
                <c:formatCode>0.00%</c:formatCode>
                <c:ptCount val="3"/>
                <c:pt idx="0">
                  <c:v>0.55000000000000004</c:v>
                </c:pt>
                <c:pt idx="1">
                  <c:v>0.58000000000000007</c:v>
                </c:pt>
                <c:pt idx="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BD-44D0-BA69-7C6807B9C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478264"/>
        <c:axId val="100474000"/>
      </c:barChart>
      <c:lineChart>
        <c:grouping val="standard"/>
        <c:varyColors val="0"/>
        <c:ser>
          <c:idx val="2"/>
          <c:order val="2"/>
          <c:tx>
            <c:strRef>
              <c:f>Before!$J$7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Before!$K$7:$M$7</c:f>
              <c:numCache>
                <c:formatCode>0.00%</c:formatCode>
                <c:ptCount val="3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CBD-44D0-BA69-7C6807B9CC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78264"/>
        <c:axId val="100474000"/>
      </c:lineChart>
      <c:catAx>
        <c:axId val="100478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4000"/>
        <c:crosses val="autoZero"/>
        <c:auto val="1"/>
        <c:lblAlgn val="ctr"/>
        <c:lblOffset val="100"/>
        <c:noMultiLvlLbl val="0"/>
      </c:catAx>
      <c:valAx>
        <c:axId val="10047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8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en-US"/>
              <a:t>TE2882 PDA FINAL TESTER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Before!$J$5</c:f>
              <c:strCache>
                <c:ptCount val="1"/>
                <c:pt idx="0">
                  <c:v>FPY %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Before!$K$5:$M$5</c:f>
              <c:numCache>
                <c:formatCode>0.00%</c:formatCode>
                <c:ptCount val="3"/>
                <c:pt idx="0">
                  <c:v>0</c:v>
                </c:pt>
                <c:pt idx="1">
                  <c:v>0.875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E8-453B-9A89-466C22551A10}"/>
            </c:ext>
          </c:extLst>
        </c:ser>
        <c:ser>
          <c:idx val="1"/>
          <c:order val="1"/>
          <c:tx>
            <c:strRef>
              <c:f>Before!$J$6</c:f>
              <c:strCache>
                <c:ptCount val="1"/>
                <c:pt idx="0">
                  <c:v>Baseline (EVALS20015)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Before!$K$6:$M$6</c:f>
              <c:numCache>
                <c:formatCode>0.00%</c:formatCode>
                <c:ptCount val="3"/>
                <c:pt idx="0">
                  <c:v>0.55000000000000004</c:v>
                </c:pt>
                <c:pt idx="1">
                  <c:v>0.58000000000000007</c:v>
                </c:pt>
                <c:pt idx="2">
                  <c:v>0.57000000000000006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E8-453B-9A89-466C22551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00478264"/>
        <c:axId val="100474000"/>
      </c:barChart>
      <c:lineChart>
        <c:grouping val="standard"/>
        <c:varyColors val="0"/>
        <c:ser>
          <c:idx val="2"/>
          <c:order val="2"/>
          <c:tx>
            <c:strRef>
              <c:f>Before!$J$7</c:f>
              <c:strCache>
                <c:ptCount val="1"/>
                <c:pt idx="0">
                  <c:v>Target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Before!$K$4:$M$4</c:f>
              <c:strCache>
                <c:ptCount val="3"/>
                <c:pt idx="0">
                  <c:v>TE82882-8</c:v>
                </c:pt>
                <c:pt idx="1">
                  <c:v>TE82882-11</c:v>
                </c:pt>
                <c:pt idx="2">
                  <c:v>TE82882-13</c:v>
                </c:pt>
              </c:strCache>
            </c:strRef>
          </c:cat>
          <c:val>
            <c:numRef>
              <c:f>Before!$K$7:$M$7</c:f>
              <c:numCache>
                <c:formatCode>0.00%</c:formatCode>
                <c:ptCount val="3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E8-453B-9A89-466C22551A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78264"/>
        <c:axId val="100474000"/>
      </c:lineChart>
      <c:catAx>
        <c:axId val="100478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4000"/>
        <c:crosses val="autoZero"/>
        <c:auto val="1"/>
        <c:lblAlgn val="ctr"/>
        <c:lblOffset val="100"/>
        <c:noMultiLvlLbl val="0"/>
      </c:catAx>
      <c:valAx>
        <c:axId val="100474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n-US"/>
          </a:p>
        </c:txPr>
        <c:crossAx val="100478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entury Gothic" panose="020B0502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PDA Detectors Yield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'MTR FPY'!$A$2</c:f>
              <c:strCache>
                <c:ptCount val="1"/>
                <c:pt idx="0">
                  <c:v>PDA (Actual)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'MTR FPY'!$B$1:$M$1</c:f>
              <c:numCache>
                <c:formatCode>mmm\-yy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'MTR FPY'!$B$2:$M$2</c:f>
              <c:numCache>
                <c:formatCode>0.00%</c:formatCode>
                <c:ptCount val="12"/>
                <c:pt idx="0">
                  <c:v>0.749</c:v>
                </c:pt>
                <c:pt idx="1">
                  <c:v>0.752</c:v>
                </c:pt>
                <c:pt idx="2">
                  <c:v>0.79</c:v>
                </c:pt>
                <c:pt idx="3">
                  <c:v>0.69499999999999995</c:v>
                </c:pt>
                <c:pt idx="4">
                  <c:v>0.623</c:v>
                </c:pt>
                <c:pt idx="5">
                  <c:v>0.64600000000000002</c:v>
                </c:pt>
                <c:pt idx="6">
                  <c:v>0.50800000000000001</c:v>
                </c:pt>
                <c:pt idx="7">
                  <c:v>0.79900000000000004</c:v>
                </c:pt>
                <c:pt idx="8">
                  <c:v>0.65200000000000002</c:v>
                </c:pt>
                <c:pt idx="9">
                  <c:v>0.71399999999999997</c:v>
                </c:pt>
                <c:pt idx="10">
                  <c:v>0.82740000000000002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4C-46A2-B813-C8EA31F73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66456015"/>
        <c:axId val="575892687"/>
      </c:barChart>
      <c:lineChart>
        <c:grouping val="standard"/>
        <c:varyColors val="0"/>
        <c:ser>
          <c:idx val="1"/>
          <c:order val="1"/>
          <c:tx>
            <c:strRef>
              <c:f>'MTR FPY'!$A$3</c:f>
              <c:strCache>
                <c:ptCount val="1"/>
                <c:pt idx="0">
                  <c:v>PDA Target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'MTR FPY'!$B$1:$M$1</c:f>
              <c:numCache>
                <c:formatCode>mmm\-yy</c:formatCode>
                <c:ptCount val="12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</c:numCache>
            </c:numRef>
          </c:cat>
          <c:val>
            <c:numRef>
              <c:f>'MTR FPY'!$B$3:$M$3</c:f>
              <c:numCache>
                <c:formatCode>0.00%</c:formatCode>
                <c:ptCount val="12"/>
                <c:pt idx="0">
                  <c:v>0.77400000000000002</c:v>
                </c:pt>
                <c:pt idx="1">
                  <c:v>0.77400000000000002</c:v>
                </c:pt>
                <c:pt idx="2">
                  <c:v>0.77400000000000002</c:v>
                </c:pt>
                <c:pt idx="3">
                  <c:v>0.77400000000000002</c:v>
                </c:pt>
                <c:pt idx="4">
                  <c:v>0.77400000000000002</c:v>
                </c:pt>
                <c:pt idx="5">
                  <c:v>0.77400000000000002</c:v>
                </c:pt>
                <c:pt idx="6">
                  <c:v>0.77400000000000002</c:v>
                </c:pt>
                <c:pt idx="7">
                  <c:v>0.77400000000000002</c:v>
                </c:pt>
                <c:pt idx="8">
                  <c:v>0.77400000000000002</c:v>
                </c:pt>
                <c:pt idx="9">
                  <c:v>0.77400000000000002</c:v>
                </c:pt>
                <c:pt idx="10">
                  <c:v>0.77400000000000002</c:v>
                </c:pt>
                <c:pt idx="11">
                  <c:v>0.77400000000000002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4C-46A2-B813-C8EA31F73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6456015"/>
        <c:axId val="575892687"/>
      </c:lineChart>
      <c:dateAx>
        <c:axId val="4664560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mmm\-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5892687"/>
        <c:crosses val="autoZero"/>
        <c:auto val="1"/>
        <c:lblOffset val="100"/>
        <c:baseTimeUnit val="months"/>
      </c:dateAx>
      <c:valAx>
        <c:axId val="575892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645601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5260964001121486E-2"/>
          <c:y val="0.93496815065845085"/>
          <c:w val="0.30277580167343948"/>
          <c:h val="4.50074701748491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90185</xdr:colOff>
      <xdr:row>25</xdr:row>
      <xdr:rowOff>161549</xdr:rowOff>
    </xdr:from>
    <xdr:to>
      <xdr:col>8</xdr:col>
      <xdr:colOff>23526</xdr:colOff>
      <xdr:row>37</xdr:row>
      <xdr:rowOff>7842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7610CE-7190-47F0-9198-FC26356839F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361950</xdr:colOff>
      <xdr:row>1</xdr:row>
      <xdr:rowOff>33337</xdr:rowOff>
    </xdr:from>
    <xdr:to>
      <xdr:col>17</xdr:col>
      <xdr:colOff>57150</xdr:colOff>
      <xdr:row>14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F092226-4CE9-41D4-BDDF-5930B02528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180646</xdr:colOff>
      <xdr:row>0</xdr:row>
      <xdr:rowOff>289038</xdr:rowOff>
    </xdr:from>
    <xdr:to>
      <xdr:col>29</xdr:col>
      <xdr:colOff>512379</xdr:colOff>
      <xdr:row>15</xdr:row>
      <xdr:rowOff>63066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DCA54F-36B4-410E-952C-72F6727B5B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180646</xdr:colOff>
      <xdr:row>0</xdr:row>
      <xdr:rowOff>289038</xdr:rowOff>
    </xdr:from>
    <xdr:to>
      <xdr:col>23</xdr:col>
      <xdr:colOff>512379</xdr:colOff>
      <xdr:row>13</xdr:row>
      <xdr:rowOff>63066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963EA92-6658-4B50-B32F-864965C6DF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180646</xdr:colOff>
      <xdr:row>0</xdr:row>
      <xdr:rowOff>289038</xdr:rowOff>
    </xdr:from>
    <xdr:to>
      <xdr:col>23</xdr:col>
      <xdr:colOff>512379</xdr:colOff>
      <xdr:row>13</xdr:row>
      <xdr:rowOff>63066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852838-A934-47B8-9C9A-E5A1D7B429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180646</xdr:colOff>
      <xdr:row>0</xdr:row>
      <xdr:rowOff>289038</xdr:rowOff>
    </xdr:from>
    <xdr:to>
      <xdr:col>26</xdr:col>
      <xdr:colOff>512379</xdr:colOff>
      <xdr:row>15</xdr:row>
      <xdr:rowOff>63066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A0E9835-A2E3-4D9A-8261-51B0682D35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876299</xdr:colOff>
      <xdr:row>6</xdr:row>
      <xdr:rowOff>38100</xdr:rowOff>
    </xdr:from>
    <xdr:to>
      <xdr:col>13</xdr:col>
      <xdr:colOff>9524</xdr:colOff>
      <xdr:row>29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934293-BE75-4655-91F8-062C81074D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gsjdedu/Box/WATERS%20Weekly%20Engineering%20Meeting%20Minutes/WPPL_FLEX%20MEETING/REVIEW/WEEKLY%20FPY%20and%20ENG'G/Minutes%202020/21%20Oct%202020%20Minutes/LOSS%20COMM%20UPDATED%2019%20Oct%202020%20Manual_SS%20Data_Sign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VALS00033"/>
      <sheetName val="3x TE82882-8,11 and 13"/>
      <sheetName val="Sheet1"/>
      <sheetName val="EVALS20015"/>
      <sheetName val="Weekly SS7 Data"/>
      <sheetName val="Sheet2"/>
      <sheetName val="Data"/>
      <sheetName val="Tester Configuration"/>
    </sheetNames>
    <sheetDataSet>
      <sheetData sheetId="0"/>
      <sheetData sheetId="1"/>
      <sheetData sheetId="2"/>
      <sheetData sheetId="3">
        <row r="5">
          <cell r="C5">
            <v>0.55000000000000004</v>
          </cell>
          <cell r="D5">
            <v>0.91</v>
          </cell>
          <cell r="E5">
            <v>0.8</v>
          </cell>
          <cell r="F5">
            <v>0.58000000000000007</v>
          </cell>
          <cell r="G5">
            <v>0.57000000000000006</v>
          </cell>
          <cell r="H5">
            <v>0.88</v>
          </cell>
        </row>
      </sheetData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AD59B-C708-4143-AC18-B1F0F3831BD4}">
  <dimension ref="A1:O25"/>
  <sheetViews>
    <sheetView showGridLines="0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N29" sqref="N29"/>
    </sheetView>
  </sheetViews>
  <sheetFormatPr defaultColWidth="9" defaultRowHeight="14.25" x14ac:dyDescent="0.25"/>
  <cols>
    <col min="1" max="1" width="14.28515625" style="6" customWidth="1"/>
    <col min="2" max="2" width="12.140625" style="5" customWidth="1"/>
    <col min="3" max="3" width="9.28515625" style="5" customWidth="1"/>
    <col min="4" max="4" width="11.85546875" style="5" customWidth="1"/>
    <col min="5" max="5" width="8.42578125" style="5" customWidth="1"/>
    <col min="6" max="6" width="12.85546875" style="5" customWidth="1"/>
    <col min="7" max="7" width="10" style="5" customWidth="1"/>
    <col min="8" max="8" width="8.5703125" style="5" customWidth="1"/>
    <col min="9" max="11" width="7.85546875" style="5" bestFit="1" customWidth="1"/>
    <col min="12" max="12" width="9.42578125" style="5" bestFit="1" customWidth="1"/>
    <col min="13" max="13" width="9.85546875" style="5" bestFit="1" customWidth="1"/>
    <col min="14" max="14" width="10.42578125" style="5" customWidth="1"/>
    <col min="15" max="15" width="8" style="5" bestFit="1" customWidth="1"/>
    <col min="16" max="16384" width="9" style="5"/>
  </cols>
  <sheetData>
    <row r="1" spans="1:15" s="18" customFormat="1" ht="47.65" customHeight="1" x14ac:dyDescent="0.25">
      <c r="A1" s="45" t="s">
        <v>36</v>
      </c>
      <c r="B1" s="46" t="s">
        <v>28</v>
      </c>
      <c r="C1" s="47" t="s">
        <v>29</v>
      </c>
      <c r="D1" s="47" t="s">
        <v>30</v>
      </c>
      <c r="E1" s="47" t="s">
        <v>24</v>
      </c>
      <c r="F1" s="48" t="s">
        <v>23</v>
      </c>
      <c r="G1" s="48" t="s">
        <v>21</v>
      </c>
      <c r="H1" s="47" t="s">
        <v>25</v>
      </c>
      <c r="I1" s="47" t="s">
        <v>26</v>
      </c>
      <c r="J1" s="47" t="s">
        <v>27</v>
      </c>
      <c r="K1" s="47" t="s">
        <v>31</v>
      </c>
      <c r="L1" s="47" t="s">
        <v>35</v>
      </c>
      <c r="M1" s="312" t="s">
        <v>36</v>
      </c>
      <c r="N1" s="312" t="s">
        <v>38</v>
      </c>
      <c r="O1" s="314" t="s">
        <v>7</v>
      </c>
    </row>
    <row r="2" spans="1:15" ht="28.5" x14ac:dyDescent="0.25">
      <c r="A2" s="49" t="s">
        <v>19</v>
      </c>
      <c r="B2" s="15" t="s">
        <v>18</v>
      </c>
      <c r="C2" s="15" t="s">
        <v>11</v>
      </c>
      <c r="D2" s="15" t="s">
        <v>12</v>
      </c>
      <c r="E2" s="15" t="s">
        <v>13</v>
      </c>
      <c r="F2" s="16" t="s">
        <v>14</v>
      </c>
      <c r="G2" s="16" t="s">
        <v>22</v>
      </c>
      <c r="H2" s="16" t="s">
        <v>20</v>
      </c>
      <c r="I2" s="16" t="s">
        <v>16</v>
      </c>
      <c r="J2" s="16" t="s">
        <v>32</v>
      </c>
      <c r="K2" s="16" t="s">
        <v>33</v>
      </c>
      <c r="L2" s="16" t="s">
        <v>34</v>
      </c>
      <c r="M2" s="313"/>
      <c r="N2" s="313"/>
      <c r="O2" s="315"/>
    </row>
    <row r="3" spans="1:15" x14ac:dyDescent="0.25">
      <c r="A3" s="50" t="s">
        <v>0</v>
      </c>
      <c r="B3" s="8">
        <v>12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  <c r="H3" s="8">
        <v>13</v>
      </c>
      <c r="I3" s="8">
        <v>8</v>
      </c>
      <c r="J3" s="8">
        <v>10</v>
      </c>
      <c r="K3" s="8">
        <v>6</v>
      </c>
      <c r="L3" s="8">
        <v>6</v>
      </c>
      <c r="M3" s="29">
        <f>SUM(B3:L3)</f>
        <v>55</v>
      </c>
      <c r="N3" s="8">
        <f>1+4+4+5+4+1</f>
        <v>19</v>
      </c>
      <c r="O3" s="51">
        <f>1-(N3/M3)</f>
        <v>0.65454545454545454</v>
      </c>
    </row>
    <row r="4" spans="1:15" x14ac:dyDescent="0.25">
      <c r="A4" s="50" t="s">
        <v>1</v>
      </c>
      <c r="B4" s="14">
        <v>0</v>
      </c>
      <c r="C4" s="11">
        <v>15</v>
      </c>
      <c r="D4" s="14">
        <v>0</v>
      </c>
      <c r="E4" s="14">
        <v>0</v>
      </c>
      <c r="F4" s="13">
        <v>4</v>
      </c>
      <c r="G4" s="8">
        <v>9</v>
      </c>
      <c r="H4" s="8">
        <v>25</v>
      </c>
      <c r="I4" s="8">
        <v>14</v>
      </c>
      <c r="J4" s="8">
        <v>31</v>
      </c>
      <c r="K4" s="11">
        <v>3</v>
      </c>
      <c r="L4" s="14">
        <v>0</v>
      </c>
      <c r="M4" s="32">
        <f t="shared" ref="M4:M9" si="0">SUM(B4:L4)</f>
        <v>101</v>
      </c>
      <c r="N4" s="33">
        <f>3+2</f>
        <v>5</v>
      </c>
      <c r="O4" s="52">
        <f t="shared" ref="O4:O9" si="1">1-(N4/M4)</f>
        <v>0.95049504950495045</v>
      </c>
    </row>
    <row r="5" spans="1:15" x14ac:dyDescent="0.25">
      <c r="A5" s="50" t="s">
        <v>2</v>
      </c>
      <c r="B5" s="8">
        <v>10</v>
      </c>
      <c r="C5" s="11">
        <v>18</v>
      </c>
      <c r="D5" s="8">
        <v>21</v>
      </c>
      <c r="E5" s="8">
        <v>20</v>
      </c>
      <c r="F5" s="11">
        <v>10</v>
      </c>
      <c r="G5" s="14">
        <v>0</v>
      </c>
      <c r="H5" s="14">
        <v>0</v>
      </c>
      <c r="I5" s="14">
        <v>0</v>
      </c>
      <c r="J5" s="14">
        <v>0</v>
      </c>
      <c r="K5" s="11">
        <v>7</v>
      </c>
      <c r="L5" s="11">
        <v>8</v>
      </c>
      <c r="M5" s="32">
        <f t="shared" si="0"/>
        <v>94</v>
      </c>
      <c r="N5" s="33">
        <f>3+1+2+1+1+2+3</f>
        <v>13</v>
      </c>
      <c r="O5" s="52">
        <f t="shared" si="1"/>
        <v>0.86170212765957444</v>
      </c>
    </row>
    <row r="6" spans="1:15" s="13" customFormat="1" x14ac:dyDescent="0.25">
      <c r="A6" s="54" t="s">
        <v>3</v>
      </c>
      <c r="B6" s="11">
        <v>7</v>
      </c>
      <c r="C6" s="11">
        <v>8</v>
      </c>
      <c r="D6" s="11">
        <v>12</v>
      </c>
      <c r="E6" s="11">
        <v>8</v>
      </c>
      <c r="F6" s="11">
        <v>5</v>
      </c>
      <c r="G6" s="11">
        <v>0</v>
      </c>
      <c r="H6" s="11">
        <v>0</v>
      </c>
      <c r="I6" s="11">
        <v>0</v>
      </c>
      <c r="J6" s="11">
        <v>0</v>
      </c>
      <c r="K6" s="11">
        <v>0</v>
      </c>
      <c r="L6" s="11">
        <v>3</v>
      </c>
      <c r="M6" s="11">
        <f t="shared" si="0"/>
        <v>43</v>
      </c>
      <c r="N6" s="11">
        <f>3+3+4+2+4+2</f>
        <v>18</v>
      </c>
      <c r="O6" s="53">
        <f t="shared" si="1"/>
        <v>0.58139534883720922</v>
      </c>
    </row>
    <row r="7" spans="1:15" ht="15" thickBot="1" x14ac:dyDescent="0.3">
      <c r="A7" s="55" t="s">
        <v>4</v>
      </c>
      <c r="B7" s="37">
        <v>3</v>
      </c>
      <c r="C7" s="35">
        <v>3</v>
      </c>
      <c r="D7" s="35">
        <v>20</v>
      </c>
      <c r="E7" s="35">
        <v>7</v>
      </c>
      <c r="F7" s="35">
        <v>4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5">
        <v>10</v>
      </c>
      <c r="M7" s="37">
        <f t="shared" si="0"/>
        <v>47</v>
      </c>
      <c r="N7" s="37">
        <f>2+8+3+2+3</f>
        <v>18</v>
      </c>
      <c r="O7" s="56">
        <f t="shared" si="1"/>
        <v>0.61702127659574468</v>
      </c>
    </row>
    <row r="8" spans="1:15" ht="15" thickBot="1" x14ac:dyDescent="0.3">
      <c r="A8" s="50" t="s">
        <v>5</v>
      </c>
      <c r="B8" s="8">
        <v>7</v>
      </c>
      <c r="C8" s="11">
        <v>14</v>
      </c>
      <c r="D8" s="14">
        <v>0</v>
      </c>
      <c r="E8" s="14">
        <v>0</v>
      </c>
      <c r="F8" s="11">
        <v>2</v>
      </c>
      <c r="G8" s="11">
        <v>11</v>
      </c>
      <c r="H8" s="8">
        <v>19</v>
      </c>
      <c r="I8" s="8">
        <v>18</v>
      </c>
      <c r="J8" s="8">
        <v>20</v>
      </c>
      <c r="K8" s="11">
        <v>12</v>
      </c>
      <c r="L8" s="14">
        <v>0</v>
      </c>
      <c r="M8" s="33">
        <f t="shared" si="0"/>
        <v>103</v>
      </c>
      <c r="N8" s="33">
        <f>2+2+4+2+2</f>
        <v>12</v>
      </c>
      <c r="O8" s="40">
        <f t="shared" si="1"/>
        <v>0.88349514563106801</v>
      </c>
    </row>
    <row r="9" spans="1:15" ht="15" thickBot="1" x14ac:dyDescent="0.3">
      <c r="A9" s="42" t="s">
        <v>8</v>
      </c>
      <c r="B9" s="43">
        <f>SUM(B3:B8)</f>
        <v>39</v>
      </c>
      <c r="C9" s="43">
        <f>SUM(C3:C8)</f>
        <v>58</v>
      </c>
      <c r="D9" s="43">
        <f t="shared" ref="D9:E9" si="2">SUM(D3:D8)</f>
        <v>53</v>
      </c>
      <c r="E9" s="43">
        <f t="shared" si="2"/>
        <v>35</v>
      </c>
      <c r="F9" s="43">
        <f t="shared" ref="F9" si="3">SUM(F3:F8)</f>
        <v>25</v>
      </c>
      <c r="G9" s="43">
        <f>SUM(G3:G8)</f>
        <v>20</v>
      </c>
      <c r="H9" s="43">
        <f t="shared" ref="H9:L9" si="4">SUM(H3:H8)</f>
        <v>57</v>
      </c>
      <c r="I9" s="43">
        <f t="shared" si="4"/>
        <v>40</v>
      </c>
      <c r="J9" s="43">
        <f t="shared" si="4"/>
        <v>61</v>
      </c>
      <c r="K9" s="43">
        <f t="shared" si="4"/>
        <v>28</v>
      </c>
      <c r="L9" s="43">
        <f t="shared" si="4"/>
        <v>27</v>
      </c>
      <c r="M9" s="44">
        <f t="shared" si="0"/>
        <v>443</v>
      </c>
      <c r="N9" s="57">
        <f>SUM(N3:N8)</f>
        <v>85</v>
      </c>
      <c r="O9" s="41">
        <f t="shared" si="1"/>
        <v>0.80812641083521441</v>
      </c>
    </row>
    <row r="10" spans="1:15" x14ac:dyDescent="0.25">
      <c r="K10" s="13"/>
      <c r="L10" s="13"/>
      <c r="M10" s="13"/>
      <c r="N10" s="13"/>
      <c r="O10" s="13"/>
    </row>
    <row r="11" spans="1:15" hidden="1" x14ac:dyDescent="0.25">
      <c r="A11" s="7" t="s">
        <v>19</v>
      </c>
      <c r="B11" s="7" t="s">
        <v>0</v>
      </c>
      <c r="C11" s="7" t="s">
        <v>1</v>
      </c>
      <c r="D11" s="7" t="s">
        <v>2</v>
      </c>
      <c r="E11" s="7" t="s">
        <v>3</v>
      </c>
      <c r="F11" s="7" t="s">
        <v>5</v>
      </c>
      <c r="G11" s="7" t="s">
        <v>8</v>
      </c>
      <c r="H11" s="7"/>
      <c r="I11" s="7"/>
      <c r="J11" s="7"/>
      <c r="K11" s="7"/>
      <c r="L11" s="30"/>
      <c r="M11" s="30"/>
      <c r="N11" s="30"/>
      <c r="O11" s="13"/>
    </row>
    <row r="12" spans="1:15" hidden="1" x14ac:dyDescent="0.25">
      <c r="A12" s="8" t="s">
        <v>18</v>
      </c>
      <c r="B12" s="8">
        <v>11</v>
      </c>
      <c r="C12" s="8">
        <v>10</v>
      </c>
      <c r="D12" s="8">
        <v>10</v>
      </c>
      <c r="E12" s="8">
        <v>7</v>
      </c>
      <c r="F12" s="8">
        <v>7</v>
      </c>
      <c r="G12" s="8">
        <f>SUM(B12:F12)</f>
        <v>45</v>
      </c>
      <c r="H12" s="8"/>
      <c r="I12" s="8"/>
      <c r="J12" s="8"/>
      <c r="K12" s="8"/>
      <c r="L12" s="11"/>
      <c r="M12" s="11"/>
      <c r="N12" s="31"/>
      <c r="O12" s="13"/>
    </row>
    <row r="13" spans="1:15" hidden="1" x14ac:dyDescent="0.25">
      <c r="A13" s="10" t="s">
        <v>11</v>
      </c>
      <c r="B13" s="12">
        <v>0</v>
      </c>
      <c r="C13" s="11">
        <v>12</v>
      </c>
      <c r="D13" s="11">
        <v>10</v>
      </c>
      <c r="E13" s="11">
        <v>8</v>
      </c>
      <c r="F13" s="11">
        <v>10</v>
      </c>
      <c r="G13" s="8">
        <f>SUM(B13:F13)</f>
        <v>40</v>
      </c>
      <c r="H13" s="8"/>
      <c r="I13" s="8"/>
      <c r="J13" s="8"/>
      <c r="K13" s="8"/>
      <c r="L13" s="11"/>
      <c r="M13" s="11"/>
      <c r="N13" s="31"/>
      <c r="O13" s="13"/>
    </row>
    <row r="14" spans="1:15" hidden="1" x14ac:dyDescent="0.25">
      <c r="A14" s="10" t="s">
        <v>12</v>
      </c>
      <c r="B14" s="12">
        <v>0</v>
      </c>
      <c r="C14" s="12">
        <v>0</v>
      </c>
      <c r="D14" s="8">
        <v>21</v>
      </c>
      <c r="E14" s="8">
        <v>12</v>
      </c>
      <c r="F14" s="12">
        <v>0</v>
      </c>
      <c r="G14" s="8">
        <f>SUM(B14:F14)</f>
        <v>33</v>
      </c>
      <c r="H14" s="8"/>
      <c r="I14" s="8"/>
      <c r="J14" s="8"/>
      <c r="K14" s="8"/>
      <c r="L14" s="11"/>
      <c r="M14" s="11"/>
      <c r="N14" s="31"/>
      <c r="O14" s="13"/>
    </row>
    <row r="15" spans="1:15" hidden="1" x14ac:dyDescent="0.25">
      <c r="A15" s="10" t="s">
        <v>13</v>
      </c>
      <c r="B15" s="12">
        <v>0</v>
      </c>
      <c r="C15" s="12">
        <v>0</v>
      </c>
      <c r="D15" s="8">
        <v>20</v>
      </c>
      <c r="E15" s="8">
        <v>8</v>
      </c>
      <c r="F15" s="12">
        <v>0</v>
      </c>
      <c r="G15" s="8">
        <f>SUM(B15:F15)</f>
        <v>28</v>
      </c>
      <c r="H15" s="8"/>
      <c r="I15" s="8"/>
      <c r="J15" s="8"/>
      <c r="K15" s="8"/>
      <c r="L15" s="11"/>
      <c r="M15" s="11"/>
      <c r="N15" s="31"/>
      <c r="O15" s="13"/>
    </row>
    <row r="16" spans="1:15" hidden="1" x14ac:dyDescent="0.25">
      <c r="A16" s="10" t="s">
        <v>14</v>
      </c>
      <c r="B16" s="12">
        <v>0</v>
      </c>
      <c r="C16" s="8">
        <v>13</v>
      </c>
      <c r="D16" s="8">
        <v>10</v>
      </c>
      <c r="E16" s="8">
        <v>5</v>
      </c>
      <c r="F16" s="8">
        <v>13</v>
      </c>
      <c r="G16" s="8">
        <f>SUM(B16:F16)</f>
        <v>41</v>
      </c>
      <c r="H16" s="8"/>
      <c r="I16" s="8"/>
      <c r="J16" s="8"/>
      <c r="K16" s="8"/>
      <c r="L16" s="11"/>
      <c r="M16" s="11"/>
      <c r="N16" s="31"/>
      <c r="O16" s="13"/>
    </row>
    <row r="17" spans="1:15" hidden="1" x14ac:dyDescent="0.25">
      <c r="A17" s="10" t="s">
        <v>15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11"/>
      <c r="M17" s="11"/>
      <c r="N17" s="31"/>
      <c r="O17" s="13"/>
    </row>
    <row r="18" spans="1:15" hidden="1" x14ac:dyDescent="0.25">
      <c r="A18" s="10" t="s">
        <v>16</v>
      </c>
      <c r="B18" s="8"/>
      <c r="C18" s="8"/>
      <c r="D18" s="8"/>
      <c r="E18" s="8"/>
      <c r="F18" s="8"/>
      <c r="G18" s="8">
        <f>SUM(B18:F18)</f>
        <v>0</v>
      </c>
      <c r="H18" s="8"/>
      <c r="I18" s="8"/>
      <c r="J18" s="8"/>
      <c r="K18" s="8"/>
      <c r="L18" s="11"/>
      <c r="M18" s="11"/>
      <c r="N18" s="31"/>
      <c r="O18" s="13"/>
    </row>
    <row r="19" spans="1:15" hidden="1" x14ac:dyDescent="0.25">
      <c r="A19" s="10" t="s">
        <v>17</v>
      </c>
      <c r="B19" s="8">
        <f t="shared" ref="B19:G19" si="5">SUM(B12:B18)</f>
        <v>11</v>
      </c>
      <c r="C19" s="8">
        <f t="shared" si="5"/>
        <v>35</v>
      </c>
      <c r="D19" s="8">
        <f t="shared" si="5"/>
        <v>71</v>
      </c>
      <c r="E19" s="8">
        <f t="shared" si="5"/>
        <v>40</v>
      </c>
      <c r="F19" s="8">
        <f t="shared" si="5"/>
        <v>30</v>
      </c>
      <c r="G19" s="8">
        <f t="shared" si="5"/>
        <v>187</v>
      </c>
      <c r="H19" s="8"/>
      <c r="I19" s="8"/>
      <c r="J19" s="8"/>
      <c r="K19" s="8"/>
      <c r="L19" s="11"/>
      <c r="M19" s="11"/>
      <c r="N19" s="31"/>
      <c r="O19" s="13"/>
    </row>
    <row r="20" spans="1:15" hidden="1" x14ac:dyDescent="0.25">
      <c r="B20" s="5">
        <v>4</v>
      </c>
      <c r="L20" s="13"/>
      <c r="M20" s="13"/>
      <c r="N20" s="13"/>
      <c r="O20" s="13"/>
    </row>
    <row r="21" spans="1:15" ht="15" x14ac:dyDescent="0.25">
      <c r="A21" s="27" t="s">
        <v>37</v>
      </c>
      <c r="B21" s="28"/>
      <c r="C21" s="28"/>
      <c r="D21" s="28"/>
      <c r="E21" s="28"/>
      <c r="F21" s="28"/>
      <c r="G21" s="28"/>
      <c r="H21" s="28"/>
      <c r="L21" s="13"/>
      <c r="M21" s="13"/>
      <c r="N21" s="13"/>
      <c r="O21" s="13"/>
    </row>
    <row r="22" spans="1:15" x14ac:dyDescent="0.25">
      <c r="A22" s="4" t="s">
        <v>6</v>
      </c>
      <c r="B22" s="4" t="s">
        <v>0</v>
      </c>
      <c r="C22" s="4" t="s">
        <v>1</v>
      </c>
      <c r="D22" s="4" t="s">
        <v>2</v>
      </c>
      <c r="E22" s="4" t="s">
        <v>3</v>
      </c>
      <c r="F22" s="4" t="s">
        <v>4</v>
      </c>
      <c r="G22" s="4" t="s">
        <v>5</v>
      </c>
      <c r="H22" s="4" t="s">
        <v>10</v>
      </c>
    </row>
    <row r="23" spans="1:15" x14ac:dyDescent="0.25">
      <c r="A23" s="24" t="s">
        <v>8</v>
      </c>
      <c r="B23" s="19">
        <f>M3</f>
        <v>55</v>
      </c>
      <c r="C23" s="22">
        <f>M4</f>
        <v>101</v>
      </c>
      <c r="D23" s="19">
        <f>M5</f>
        <v>94</v>
      </c>
      <c r="E23" s="20">
        <f>M6</f>
        <v>43</v>
      </c>
      <c r="F23" s="20">
        <f>M7</f>
        <v>47</v>
      </c>
      <c r="G23" s="22">
        <f>M8</f>
        <v>103</v>
      </c>
      <c r="H23" s="2">
        <f>M9</f>
        <v>443</v>
      </c>
    </row>
    <row r="24" spans="1:15" x14ac:dyDescent="0.25">
      <c r="A24" s="25" t="s">
        <v>9</v>
      </c>
      <c r="B24" s="19">
        <f>N3</f>
        <v>19</v>
      </c>
      <c r="C24" s="22">
        <f>N4</f>
        <v>5</v>
      </c>
      <c r="D24" s="19">
        <f>N5</f>
        <v>13</v>
      </c>
      <c r="E24" s="20">
        <f>N6</f>
        <v>18</v>
      </c>
      <c r="F24" s="20">
        <f>N7</f>
        <v>18</v>
      </c>
      <c r="G24" s="22">
        <f>N8</f>
        <v>12</v>
      </c>
      <c r="H24" s="2">
        <f t="shared" ref="H24" si="6">SUM(B24:G24)</f>
        <v>85</v>
      </c>
    </row>
    <row r="25" spans="1:15" x14ac:dyDescent="0.25">
      <c r="A25" s="26" t="s">
        <v>7</v>
      </c>
      <c r="B25" s="23">
        <f t="shared" ref="B25:H25" si="7">1-(B24/B23)</f>
        <v>0.65454545454545454</v>
      </c>
      <c r="C25" s="23">
        <f t="shared" si="7"/>
        <v>0.95049504950495045</v>
      </c>
      <c r="D25" s="23">
        <f t="shared" si="7"/>
        <v>0.86170212765957444</v>
      </c>
      <c r="E25" s="21">
        <f t="shared" si="7"/>
        <v>0.58139534883720922</v>
      </c>
      <c r="F25" s="21">
        <f t="shared" si="7"/>
        <v>0.61702127659574468</v>
      </c>
      <c r="G25" s="23">
        <f t="shared" si="7"/>
        <v>0.88349514563106801</v>
      </c>
      <c r="H25" s="23">
        <f t="shared" si="7"/>
        <v>0.80812641083521441</v>
      </c>
    </row>
  </sheetData>
  <mergeCells count="3">
    <mergeCell ref="N1:N2"/>
    <mergeCell ref="O1:O2"/>
    <mergeCell ref="M1:M2"/>
  </mergeCells>
  <phoneticPr fontId="5" type="noConversion"/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5D6C7-2AB1-4867-9AA6-F0EEBCEBFFEC}">
  <dimension ref="A1:P19"/>
  <sheetViews>
    <sheetView zoomScale="80" zoomScaleNormal="80" workbookViewId="0">
      <selection activeCell="F4" sqref="F4"/>
    </sheetView>
  </sheetViews>
  <sheetFormatPr defaultColWidth="9" defaultRowHeight="14.25" x14ac:dyDescent="0.25"/>
  <cols>
    <col min="1" max="1" width="12.5703125" style="6" customWidth="1"/>
    <col min="2" max="2" width="11.140625" style="5" customWidth="1"/>
    <col min="3" max="3" width="9.28515625" style="5" customWidth="1"/>
    <col min="4" max="4" width="10.85546875" style="5" customWidth="1"/>
    <col min="5" max="5" width="8.42578125" style="5" customWidth="1"/>
    <col min="6" max="6" width="9.7109375" style="5" customWidth="1"/>
    <col min="7" max="7" width="10" style="5" customWidth="1"/>
    <col min="8" max="8" width="8.5703125" style="5" customWidth="1"/>
    <col min="9" max="11" width="7.85546875" style="5" bestFit="1" customWidth="1"/>
    <col min="12" max="12" width="9.42578125" style="5" bestFit="1" customWidth="1"/>
    <col min="13" max="13" width="9.85546875" style="5" bestFit="1" customWidth="1"/>
    <col min="14" max="14" width="10.42578125" style="5" customWidth="1"/>
    <col min="15" max="15" width="8" style="5" bestFit="1" customWidth="1"/>
    <col min="16" max="16384" width="9" style="5"/>
  </cols>
  <sheetData>
    <row r="1" spans="1:16" s="18" customFormat="1" ht="47.65" customHeight="1" x14ac:dyDescent="0.25">
      <c r="A1" s="45" t="s">
        <v>36</v>
      </c>
      <c r="B1" s="46" t="s">
        <v>28</v>
      </c>
      <c r="C1" s="47" t="s">
        <v>29</v>
      </c>
      <c r="D1" s="47" t="s">
        <v>30</v>
      </c>
      <c r="E1" s="47" t="s">
        <v>24</v>
      </c>
      <c r="F1" s="48" t="s">
        <v>23</v>
      </c>
      <c r="G1" s="48" t="s">
        <v>21</v>
      </c>
      <c r="H1" s="47" t="s">
        <v>25</v>
      </c>
      <c r="I1" s="47" t="s">
        <v>26</v>
      </c>
      <c r="J1" s="47" t="s">
        <v>27</v>
      </c>
      <c r="K1" s="47" t="s">
        <v>31</v>
      </c>
      <c r="L1" s="47" t="s">
        <v>35</v>
      </c>
      <c r="M1" s="312" t="s">
        <v>36</v>
      </c>
      <c r="N1" s="312" t="s">
        <v>38</v>
      </c>
      <c r="O1" s="314" t="s">
        <v>7</v>
      </c>
    </row>
    <row r="2" spans="1:16" ht="28.5" x14ac:dyDescent="0.25">
      <c r="A2" s="62" t="s">
        <v>19</v>
      </c>
      <c r="B2" s="15" t="s">
        <v>18</v>
      </c>
      <c r="C2" s="15" t="s">
        <v>11</v>
      </c>
      <c r="D2" s="15" t="s">
        <v>12</v>
      </c>
      <c r="E2" s="15" t="s">
        <v>13</v>
      </c>
      <c r="F2" s="16" t="s">
        <v>14</v>
      </c>
      <c r="G2" s="16" t="s">
        <v>22</v>
      </c>
      <c r="H2" s="16" t="s">
        <v>20</v>
      </c>
      <c r="I2" s="16" t="s">
        <v>16</v>
      </c>
      <c r="J2" s="16" t="s">
        <v>32</v>
      </c>
      <c r="K2" s="16" t="s">
        <v>33</v>
      </c>
      <c r="L2" s="16" t="s">
        <v>34</v>
      </c>
      <c r="M2" s="313"/>
      <c r="N2" s="313"/>
      <c r="O2" s="315"/>
    </row>
    <row r="3" spans="1:16" x14ac:dyDescent="0.25">
      <c r="A3" s="50" t="s">
        <v>0</v>
      </c>
      <c r="B3" s="8">
        <v>12</v>
      </c>
      <c r="C3" s="14">
        <v>0</v>
      </c>
      <c r="D3" s="14">
        <v>0</v>
      </c>
      <c r="E3" s="14">
        <v>0</v>
      </c>
      <c r="F3" s="14">
        <v>0</v>
      </c>
      <c r="G3" s="14">
        <v>0</v>
      </c>
      <c r="H3" s="8">
        <v>13</v>
      </c>
      <c r="I3" s="8">
        <v>9</v>
      </c>
      <c r="J3" s="8">
        <v>10</v>
      </c>
      <c r="K3" s="8">
        <v>6</v>
      </c>
      <c r="L3" s="8">
        <v>6</v>
      </c>
      <c r="M3" s="29">
        <f>SUM(B3:L3)</f>
        <v>56</v>
      </c>
      <c r="N3" s="8">
        <f>1+4+4+5+4+1</f>
        <v>19</v>
      </c>
      <c r="O3" s="51">
        <f>1-(N3/M3)</f>
        <v>0.6607142857142857</v>
      </c>
    </row>
    <row r="4" spans="1:16" x14ac:dyDescent="0.25">
      <c r="A4" s="50" t="s">
        <v>1</v>
      </c>
      <c r="B4" s="14">
        <v>0</v>
      </c>
      <c r="C4" s="11">
        <v>15</v>
      </c>
      <c r="D4" s="14">
        <v>0</v>
      </c>
      <c r="E4" s="14">
        <v>0</v>
      </c>
      <c r="F4" s="13">
        <v>4</v>
      </c>
      <c r="G4" s="8">
        <v>9</v>
      </c>
      <c r="H4" s="8">
        <v>25</v>
      </c>
      <c r="I4" s="8">
        <v>24</v>
      </c>
      <c r="J4" s="8">
        <v>31</v>
      </c>
      <c r="K4" s="11">
        <v>3</v>
      </c>
      <c r="L4" s="14">
        <v>0</v>
      </c>
      <c r="M4" s="32">
        <f t="shared" ref="M4:M9" si="0">SUM(B4:L4)</f>
        <v>111</v>
      </c>
      <c r="N4" s="33">
        <f>3+4</f>
        <v>7</v>
      </c>
      <c r="O4" s="52">
        <f t="shared" ref="O4:O9" si="1">1-(N4/M4)</f>
        <v>0.93693693693693691</v>
      </c>
    </row>
    <row r="5" spans="1:16" x14ac:dyDescent="0.25">
      <c r="A5" s="50" t="s">
        <v>2</v>
      </c>
      <c r="B5" s="8">
        <v>10</v>
      </c>
      <c r="C5" s="11">
        <v>18</v>
      </c>
      <c r="D5" s="8">
        <v>21</v>
      </c>
      <c r="E5" s="8">
        <v>20</v>
      </c>
      <c r="F5" s="11">
        <v>10</v>
      </c>
      <c r="G5" s="14">
        <v>0</v>
      </c>
      <c r="H5" s="14">
        <v>0</v>
      </c>
      <c r="I5" s="14">
        <v>0</v>
      </c>
      <c r="J5" s="14">
        <v>0</v>
      </c>
      <c r="K5" s="11">
        <v>7</v>
      </c>
      <c r="L5" s="11">
        <v>8</v>
      </c>
      <c r="M5" s="34">
        <f t="shared" si="0"/>
        <v>94</v>
      </c>
      <c r="N5" s="11">
        <f>3+1+2+1+1+2+3</f>
        <v>13</v>
      </c>
      <c r="O5" s="53">
        <f t="shared" si="1"/>
        <v>0.86170212765957444</v>
      </c>
    </row>
    <row r="6" spans="1:16" s="13" customFormat="1" x14ac:dyDescent="0.25">
      <c r="A6" s="54" t="s">
        <v>3</v>
      </c>
      <c r="B6" s="11">
        <v>7</v>
      </c>
      <c r="C6" s="11">
        <v>8</v>
      </c>
      <c r="D6" s="11">
        <v>12</v>
      </c>
      <c r="E6" s="11">
        <v>8</v>
      </c>
      <c r="F6" s="11">
        <v>5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1">
        <v>3</v>
      </c>
      <c r="M6" s="11">
        <f t="shared" si="0"/>
        <v>43</v>
      </c>
      <c r="N6" s="11">
        <f>3+3+4+2+4+2</f>
        <v>18</v>
      </c>
      <c r="O6" s="53">
        <f t="shared" si="1"/>
        <v>0.58139534883720922</v>
      </c>
    </row>
    <row r="7" spans="1:16" ht="15" thickBot="1" x14ac:dyDescent="0.3">
      <c r="A7" s="55" t="s">
        <v>4</v>
      </c>
      <c r="B7" s="37">
        <v>3</v>
      </c>
      <c r="C7" s="35">
        <v>3</v>
      </c>
      <c r="D7" s="35">
        <v>20</v>
      </c>
      <c r="E7" s="35">
        <v>7</v>
      </c>
      <c r="F7" s="35">
        <v>4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5">
        <v>10</v>
      </c>
      <c r="M7" s="37">
        <f t="shared" si="0"/>
        <v>47</v>
      </c>
      <c r="N7" s="37">
        <f>2+8+3+2+3</f>
        <v>18</v>
      </c>
      <c r="O7" s="56">
        <f t="shared" si="1"/>
        <v>0.61702127659574468</v>
      </c>
    </row>
    <row r="8" spans="1:16" ht="15" thickBot="1" x14ac:dyDescent="0.3">
      <c r="A8" s="50" t="s">
        <v>5</v>
      </c>
      <c r="B8" s="8">
        <v>7</v>
      </c>
      <c r="C8" s="11">
        <v>14</v>
      </c>
      <c r="D8" s="14">
        <v>0</v>
      </c>
      <c r="E8" s="14">
        <v>0</v>
      </c>
      <c r="F8" s="11">
        <v>2</v>
      </c>
      <c r="G8" s="11">
        <v>11</v>
      </c>
      <c r="H8" s="8">
        <v>19</v>
      </c>
      <c r="I8" s="8">
        <v>18</v>
      </c>
      <c r="J8" s="8">
        <v>20</v>
      </c>
      <c r="K8" s="11">
        <v>12</v>
      </c>
      <c r="L8" s="14">
        <v>0</v>
      </c>
      <c r="M8" s="33">
        <f t="shared" si="0"/>
        <v>103</v>
      </c>
      <c r="N8" s="33">
        <f>2+2+4+2+2</f>
        <v>12</v>
      </c>
      <c r="O8" s="40">
        <f t="shared" si="1"/>
        <v>0.88349514563106801</v>
      </c>
    </row>
    <row r="9" spans="1:16" ht="15" thickBot="1" x14ac:dyDescent="0.3">
      <c r="A9" s="42" t="s">
        <v>8</v>
      </c>
      <c r="B9" s="43">
        <f>SUM(B3:B8)</f>
        <v>39</v>
      </c>
      <c r="C9" s="43">
        <f>SUM(C3:C8)</f>
        <v>58</v>
      </c>
      <c r="D9" s="43">
        <f t="shared" ref="D9:F9" si="2">SUM(D3:D8)</f>
        <v>53</v>
      </c>
      <c r="E9" s="43">
        <f t="shared" si="2"/>
        <v>35</v>
      </c>
      <c r="F9" s="43">
        <f t="shared" si="2"/>
        <v>25</v>
      </c>
      <c r="G9" s="43">
        <f>SUM(G3:G8)</f>
        <v>20</v>
      </c>
      <c r="H9" s="43">
        <f t="shared" ref="H9:L9" si="3">SUM(H3:H8)</f>
        <v>57</v>
      </c>
      <c r="I9" s="43">
        <f t="shared" si="3"/>
        <v>51</v>
      </c>
      <c r="J9" s="43">
        <f t="shared" si="3"/>
        <v>61</v>
      </c>
      <c r="K9" s="43">
        <f t="shared" si="3"/>
        <v>28</v>
      </c>
      <c r="L9" s="43">
        <f t="shared" si="3"/>
        <v>27</v>
      </c>
      <c r="M9" s="44">
        <f t="shared" si="0"/>
        <v>454</v>
      </c>
      <c r="N9" s="57">
        <f>SUM(N3:N8)</f>
        <v>87</v>
      </c>
      <c r="O9" s="41">
        <f t="shared" si="1"/>
        <v>0.80837004405286339</v>
      </c>
    </row>
    <row r="10" spans="1:16" ht="15" thickBot="1" x14ac:dyDescent="0.3">
      <c r="K10" s="13"/>
      <c r="L10" s="13"/>
      <c r="M10" s="13"/>
      <c r="N10" s="13"/>
      <c r="O10" s="13"/>
    </row>
    <row r="11" spans="1:16" ht="52.35" customHeight="1" x14ac:dyDescent="0.25">
      <c r="A11" s="45" t="s">
        <v>36</v>
      </c>
      <c r="B11" s="46" t="s">
        <v>28</v>
      </c>
      <c r="C11" s="47" t="s">
        <v>29</v>
      </c>
      <c r="D11" s="47" t="s">
        <v>30</v>
      </c>
      <c r="E11" s="47" t="s">
        <v>24</v>
      </c>
      <c r="F11" s="48" t="s">
        <v>23</v>
      </c>
      <c r="G11" s="48" t="s">
        <v>21</v>
      </c>
      <c r="H11" s="47" t="s">
        <v>25</v>
      </c>
      <c r="I11" s="47" t="s">
        <v>26</v>
      </c>
      <c r="J11" s="47" t="s">
        <v>27</v>
      </c>
      <c r="K11" s="17" t="s">
        <v>31</v>
      </c>
      <c r="L11" s="17" t="s">
        <v>35</v>
      </c>
      <c r="M11" s="59"/>
      <c r="N11" s="59"/>
      <c r="O11" s="60"/>
      <c r="P11" s="61"/>
    </row>
    <row r="12" spans="1:16" ht="13.7" customHeight="1" x14ac:dyDescent="0.25">
      <c r="A12" s="62" t="s">
        <v>19</v>
      </c>
      <c r="B12" s="15" t="s">
        <v>18</v>
      </c>
      <c r="C12" s="15" t="s">
        <v>11</v>
      </c>
      <c r="D12" s="15" t="s">
        <v>12</v>
      </c>
      <c r="E12" s="15" t="s">
        <v>13</v>
      </c>
      <c r="F12" s="16" t="s">
        <v>14</v>
      </c>
      <c r="G12" s="16" t="s">
        <v>22</v>
      </c>
      <c r="H12" s="16" t="s">
        <v>20</v>
      </c>
      <c r="I12" s="16" t="s">
        <v>16</v>
      </c>
      <c r="J12" s="16" t="s">
        <v>32</v>
      </c>
      <c r="K12" s="16" t="s">
        <v>33</v>
      </c>
      <c r="L12" s="16" t="s">
        <v>34</v>
      </c>
      <c r="M12" s="59"/>
      <c r="N12" s="59"/>
      <c r="O12" s="60"/>
      <c r="P12" s="13"/>
    </row>
    <row r="13" spans="1:16" x14ac:dyDescent="0.25">
      <c r="A13" s="50" t="s">
        <v>0</v>
      </c>
      <c r="B13" s="9">
        <f>1-(1/12)</f>
        <v>0.91666666666666663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9">
        <f>1-(6/13)</f>
        <v>0.53846153846153844</v>
      </c>
      <c r="I13" s="9">
        <f>1-(5/9)</f>
        <v>0.44444444444444442</v>
      </c>
      <c r="J13" s="9">
        <f>1-(7/10)</f>
        <v>0.30000000000000004</v>
      </c>
      <c r="K13" s="9">
        <f>1-(4/6)</f>
        <v>0.33333333333333337</v>
      </c>
      <c r="L13" s="9">
        <f>1-(1/6)</f>
        <v>0.83333333333333337</v>
      </c>
      <c r="M13" s="58"/>
      <c r="N13" s="13"/>
      <c r="O13" s="58"/>
      <c r="P13" s="13"/>
    </row>
    <row r="14" spans="1:16" x14ac:dyDescent="0.25">
      <c r="A14" s="50" t="s">
        <v>1</v>
      </c>
      <c r="B14" s="14"/>
      <c r="C14" s="31">
        <f>1-(3/15)</f>
        <v>0.8</v>
      </c>
      <c r="D14" s="14">
        <v>0</v>
      </c>
      <c r="E14" s="14">
        <v>0</v>
      </c>
      <c r="F14" s="58">
        <f>1-(1/4)</f>
        <v>0.75</v>
      </c>
      <c r="G14" s="9">
        <f>1</f>
        <v>1</v>
      </c>
      <c r="H14" s="9">
        <f>1-(8/25)</f>
        <v>0.67999999999999994</v>
      </c>
      <c r="I14" s="9">
        <f>1-(6/24)</f>
        <v>0.75</v>
      </c>
      <c r="J14" s="9">
        <f>1-(6/31)</f>
        <v>0.80645161290322576</v>
      </c>
      <c r="K14" s="31">
        <f>1-(2/3)</f>
        <v>0.33333333333333337</v>
      </c>
      <c r="L14" s="14">
        <v>0</v>
      </c>
      <c r="M14" s="58"/>
      <c r="N14" s="13"/>
      <c r="O14" s="58"/>
      <c r="P14" s="13"/>
    </row>
    <row r="15" spans="1:16" x14ac:dyDescent="0.25">
      <c r="A15" s="50" t="s">
        <v>2</v>
      </c>
      <c r="B15" s="9">
        <f>1-(4/10)</f>
        <v>0.6</v>
      </c>
      <c r="C15" s="31">
        <f>1-(3/18)</f>
        <v>0.83333333333333337</v>
      </c>
      <c r="D15" s="9">
        <f>1-12/21</f>
        <v>0.4285714285714286</v>
      </c>
      <c r="E15" s="9">
        <f>1-(4/20)</f>
        <v>0.8</v>
      </c>
      <c r="F15" s="31">
        <f>1-(4/10)</f>
        <v>0.6</v>
      </c>
      <c r="G15" s="14">
        <v>0</v>
      </c>
      <c r="H15" s="14">
        <v>0</v>
      </c>
      <c r="I15" s="14">
        <v>0</v>
      </c>
      <c r="J15" s="14">
        <v>0</v>
      </c>
      <c r="K15" s="31">
        <f>1-(3/7)</f>
        <v>0.5714285714285714</v>
      </c>
      <c r="L15" s="31">
        <f>1-(4/8)</f>
        <v>0.5</v>
      </c>
      <c r="M15" s="58"/>
      <c r="N15" s="13"/>
      <c r="O15" s="58"/>
      <c r="P15" s="13"/>
    </row>
    <row r="16" spans="1:16" x14ac:dyDescent="0.25">
      <c r="A16" s="54" t="s">
        <v>3</v>
      </c>
      <c r="B16" s="31">
        <f>1-(3/7)</f>
        <v>0.5714285714285714</v>
      </c>
      <c r="C16" s="31">
        <f>1-(5/8)</f>
        <v>0.375</v>
      </c>
      <c r="D16" s="31">
        <f>1-(5/12)</f>
        <v>0.58333333333333326</v>
      </c>
      <c r="E16" s="31">
        <f>1-(3/8)</f>
        <v>0.625</v>
      </c>
      <c r="F16" s="31">
        <f>1-(4/5)</f>
        <v>0.19999999999999996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31">
        <f>1-(3/3)</f>
        <v>0</v>
      </c>
      <c r="M16" s="58"/>
      <c r="N16" s="13"/>
      <c r="O16" s="58"/>
      <c r="P16" s="13"/>
    </row>
    <row r="17" spans="1:16" x14ac:dyDescent="0.25">
      <c r="A17" s="55" t="s">
        <v>4</v>
      </c>
      <c r="B17" s="39">
        <v>1</v>
      </c>
      <c r="C17" s="36">
        <f>1-(2/3)</f>
        <v>0.33333333333333337</v>
      </c>
      <c r="D17" s="36">
        <f>1-(11/20)</f>
        <v>0.44999999999999996</v>
      </c>
      <c r="E17" s="31">
        <f>1-(3/8)</f>
        <v>0.625</v>
      </c>
      <c r="F17" s="9">
        <f>1-(2/4)</f>
        <v>0.5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31">
        <f>1-(6/10)</f>
        <v>0.4</v>
      </c>
      <c r="M17" s="58"/>
      <c r="N17" s="13"/>
      <c r="O17" s="58"/>
      <c r="P17" s="13"/>
    </row>
    <row r="18" spans="1:16" x14ac:dyDescent="0.25">
      <c r="A18" s="50" t="s">
        <v>5</v>
      </c>
      <c r="B18" s="9">
        <f>1-(1/7)</f>
        <v>0.85714285714285721</v>
      </c>
      <c r="C18" s="31">
        <f>1-(4/14)</f>
        <v>0.7142857142857143</v>
      </c>
      <c r="D18" s="14">
        <v>0</v>
      </c>
      <c r="E18" s="14">
        <v>0</v>
      </c>
      <c r="F18" s="31">
        <f>1-(1/1)</f>
        <v>0</v>
      </c>
      <c r="G18" s="31">
        <f>1-(4/11)</f>
        <v>0.63636363636363635</v>
      </c>
      <c r="H18" s="9">
        <f>1-(4/19)</f>
        <v>0.78947368421052633</v>
      </c>
      <c r="I18" s="9">
        <f>1-(8/18)</f>
        <v>0.55555555555555558</v>
      </c>
      <c r="J18" s="9">
        <f>1-(1/20)</f>
        <v>0.95</v>
      </c>
      <c r="K18" s="31">
        <f>1-(2/12)</f>
        <v>0.83333333333333337</v>
      </c>
      <c r="L18" s="14">
        <v>0</v>
      </c>
      <c r="M18" s="58"/>
      <c r="N18" s="13"/>
      <c r="O18" s="58"/>
      <c r="P18" s="13"/>
    </row>
    <row r="19" spans="1:16" x14ac:dyDescent="0.25">
      <c r="M19" s="13"/>
      <c r="N19" s="13"/>
      <c r="O19" s="13"/>
      <c r="P19" s="13"/>
    </row>
  </sheetData>
  <mergeCells count="3">
    <mergeCell ref="M1:M2"/>
    <mergeCell ref="N1:N2"/>
    <mergeCell ref="O1:O2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A042B-0CA6-4A45-9E7C-1853A0149A32}">
  <dimension ref="B2:AW91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I26" sqref="I26"/>
    </sheetView>
  </sheetViews>
  <sheetFormatPr defaultColWidth="9" defaultRowHeight="14.25" x14ac:dyDescent="0.25"/>
  <cols>
    <col min="1" max="1" width="2.42578125" style="5" customWidth="1"/>
    <col min="2" max="2" width="14.5703125" style="6" customWidth="1"/>
    <col min="3" max="3" width="9.140625" style="5" bestFit="1" customWidth="1"/>
    <col min="4" max="6" width="8.140625" style="5" bestFit="1" customWidth="1"/>
    <col min="7" max="8" width="8.140625" style="6" bestFit="1" customWidth="1"/>
    <col min="9" max="9" width="9.140625" style="6" bestFit="1" customWidth="1"/>
    <col min="10" max="10" width="8" style="6" bestFit="1" customWidth="1"/>
    <col min="11" max="11" width="15.7109375" style="6" bestFit="1" customWidth="1"/>
    <col min="12" max="12" width="16.140625" style="6" customWidth="1"/>
    <col min="13" max="13" width="16.140625" style="5" customWidth="1"/>
    <col min="14" max="15" width="16.140625" style="6" customWidth="1"/>
    <col min="16" max="16" width="9.42578125" style="5" customWidth="1"/>
    <col min="17" max="18" width="8.140625" style="6" customWidth="1"/>
    <col min="19" max="19" width="8.42578125" style="6" hidden="1" customWidth="1"/>
    <col min="20" max="20" width="12.140625" style="5" hidden="1" customWidth="1"/>
    <col min="21" max="21" width="8.140625" style="5" hidden="1" customWidth="1"/>
    <col min="22" max="22" width="19.140625" style="5" hidden="1" customWidth="1"/>
    <col min="23" max="23" width="9.7109375" style="5" hidden="1" customWidth="1"/>
    <col min="24" max="24" width="19.28515625" style="5" hidden="1" customWidth="1"/>
    <col min="25" max="25" width="19" style="5" hidden="1" customWidth="1"/>
    <col min="26" max="26" width="8.42578125" style="5" hidden="1" customWidth="1"/>
    <col min="27" max="29" width="8.28515625" style="5" hidden="1" customWidth="1"/>
    <col min="30" max="30" width="8.5703125" style="5" hidden="1" customWidth="1"/>
    <col min="31" max="32" width="8.140625" style="5" hidden="1" customWidth="1"/>
    <col min="33" max="34" width="7.85546875" style="5" hidden="1" customWidth="1"/>
    <col min="35" max="35" width="14" style="5" hidden="1" customWidth="1"/>
    <col min="36" max="36" width="15.140625" style="5" hidden="1" customWidth="1"/>
    <col min="37" max="37" width="17.28515625" style="5" hidden="1" customWidth="1"/>
    <col min="38" max="38" width="37.28515625" style="5" hidden="1" customWidth="1"/>
    <col min="39" max="39" width="6.28515625" style="5" hidden="1" customWidth="1"/>
    <col min="40" max="40" width="24" style="5" hidden="1" customWidth="1"/>
    <col min="41" max="42" width="0" style="5" hidden="1" customWidth="1"/>
    <col min="43" max="43" width="12.7109375" style="6" hidden="1" customWidth="1"/>
    <col min="44" max="49" width="8.140625" style="5" hidden="1" customWidth="1"/>
    <col min="50" max="50" width="0" style="5" hidden="1" customWidth="1"/>
    <col min="51" max="16384" width="9" style="5"/>
  </cols>
  <sheetData>
    <row r="2" spans="2:49" ht="18" x14ac:dyDescent="0.25">
      <c r="B2" s="68" t="s">
        <v>49</v>
      </c>
      <c r="X2" s="6"/>
    </row>
    <row r="3" spans="2:49" ht="15.75" thickBot="1" x14ac:dyDescent="0.3">
      <c r="B3" s="67" t="s">
        <v>137</v>
      </c>
      <c r="AJ3" s="5" t="s">
        <v>52</v>
      </c>
      <c r="AR3" s="316" t="s">
        <v>6</v>
      </c>
      <c r="AS3" s="317"/>
      <c r="AT3" s="318" t="s">
        <v>6</v>
      </c>
      <c r="AU3" s="319"/>
      <c r="AV3" s="316" t="s">
        <v>6</v>
      </c>
      <c r="AW3" s="317"/>
    </row>
    <row r="4" spans="2:49" s="18" customFormat="1" ht="41.25" customHeight="1" thickBot="1" x14ac:dyDescent="0.3">
      <c r="B4" s="217" t="s">
        <v>48</v>
      </c>
      <c r="C4" s="154" t="s">
        <v>43</v>
      </c>
      <c r="D4" s="154" t="s">
        <v>45</v>
      </c>
      <c r="E4" s="154" t="s">
        <v>44</v>
      </c>
      <c r="F4" s="154" t="s">
        <v>47</v>
      </c>
      <c r="G4" s="153" t="s">
        <v>86</v>
      </c>
      <c r="H4" s="153" t="s">
        <v>87</v>
      </c>
      <c r="I4" s="153" t="s">
        <v>95</v>
      </c>
      <c r="J4" s="218">
        <v>44044</v>
      </c>
      <c r="K4" s="252" t="s">
        <v>110</v>
      </c>
      <c r="L4" s="252" t="s">
        <v>111</v>
      </c>
      <c r="M4" s="261">
        <v>44075</v>
      </c>
      <c r="N4" s="252" t="s">
        <v>112</v>
      </c>
      <c r="O4" s="252" t="s">
        <v>113</v>
      </c>
      <c r="P4" s="261">
        <v>44105</v>
      </c>
      <c r="Q4" s="218">
        <v>44136</v>
      </c>
      <c r="R4" s="219">
        <v>44166</v>
      </c>
      <c r="S4" s="6"/>
      <c r="T4" s="91" t="s">
        <v>18</v>
      </c>
      <c r="U4" s="91" t="s">
        <v>11</v>
      </c>
      <c r="V4" s="91" t="s">
        <v>12</v>
      </c>
      <c r="W4" s="91" t="s">
        <v>13</v>
      </c>
      <c r="X4" s="88" t="s">
        <v>14</v>
      </c>
      <c r="Y4" s="88" t="s">
        <v>22</v>
      </c>
      <c r="Z4" s="88" t="s">
        <v>20</v>
      </c>
      <c r="AA4" s="88" t="s">
        <v>16</v>
      </c>
      <c r="AB4" s="88" t="s">
        <v>32</v>
      </c>
      <c r="AC4" s="88" t="s">
        <v>33</v>
      </c>
      <c r="AD4" s="88" t="s">
        <v>34</v>
      </c>
      <c r="AE4" s="88" t="s">
        <v>84</v>
      </c>
      <c r="AF4" s="88" t="s">
        <v>88</v>
      </c>
      <c r="AG4" s="88" t="s">
        <v>89</v>
      </c>
      <c r="AH4" s="88" t="s">
        <v>90</v>
      </c>
      <c r="AI4" s="92" t="s">
        <v>50</v>
      </c>
      <c r="AJ4" s="151" t="s">
        <v>38</v>
      </c>
      <c r="AK4" s="92" t="s">
        <v>51</v>
      </c>
      <c r="AQ4" s="66"/>
      <c r="AR4" s="205" t="s">
        <v>91</v>
      </c>
      <c r="AS4" s="206" t="s">
        <v>92</v>
      </c>
      <c r="AT4" s="202" t="s">
        <v>91</v>
      </c>
      <c r="AU4" s="209" t="s">
        <v>92</v>
      </c>
      <c r="AV4" s="205" t="s">
        <v>91</v>
      </c>
      <c r="AW4" s="206" t="s">
        <v>92</v>
      </c>
    </row>
    <row r="5" spans="2:49" x14ac:dyDescent="0.25">
      <c r="B5" s="50" t="s">
        <v>0</v>
      </c>
      <c r="C5" s="8">
        <v>60</v>
      </c>
      <c r="D5" s="8">
        <v>67</v>
      </c>
      <c r="E5" s="8">
        <v>46</v>
      </c>
      <c r="F5" s="8">
        <v>19</v>
      </c>
      <c r="G5" s="8">
        <v>12</v>
      </c>
      <c r="H5" s="8">
        <v>44</v>
      </c>
      <c r="I5" s="8">
        <v>48</v>
      </c>
      <c r="J5" s="8">
        <v>25</v>
      </c>
      <c r="K5" s="8">
        <v>31</v>
      </c>
      <c r="L5" s="8">
        <v>7</v>
      </c>
      <c r="M5" s="8">
        <f>SUM(K5:L5)</f>
        <v>38</v>
      </c>
      <c r="N5" s="8">
        <v>3</v>
      </c>
      <c r="O5" s="8">
        <v>35</v>
      </c>
      <c r="P5" s="8">
        <f>SUM(N5:O5)</f>
        <v>38</v>
      </c>
      <c r="Q5" s="8">
        <v>19</v>
      </c>
      <c r="R5" s="204">
        <v>67</v>
      </c>
      <c r="T5" s="86">
        <v>12</v>
      </c>
      <c r="U5" s="89">
        <v>0</v>
      </c>
      <c r="V5" s="89">
        <v>0</v>
      </c>
      <c r="W5" s="89">
        <v>0</v>
      </c>
      <c r="X5" s="89">
        <v>0</v>
      </c>
      <c r="Y5" s="89">
        <v>0</v>
      </c>
      <c r="Z5" s="86">
        <v>13</v>
      </c>
      <c r="AA5" s="86">
        <v>9</v>
      </c>
      <c r="AB5" s="86">
        <v>10</v>
      </c>
      <c r="AC5" s="86">
        <v>6</v>
      </c>
      <c r="AD5" s="86">
        <v>6</v>
      </c>
      <c r="AE5" s="86">
        <v>12</v>
      </c>
      <c r="AF5" s="86">
        <v>19</v>
      </c>
      <c r="AG5" s="86"/>
      <c r="AH5" s="86"/>
      <c r="AI5" s="86">
        <f>SUM(T5:AH5)</f>
        <v>87</v>
      </c>
      <c r="AJ5" s="133">
        <f>1+4+4+5+4+1+4+10</f>
        <v>33</v>
      </c>
      <c r="AK5" s="90">
        <f>AJ5/AI5</f>
        <v>0.37931034482758619</v>
      </c>
      <c r="AR5" s="207">
        <f>1-G24</f>
        <v>0.85714285714285721</v>
      </c>
      <c r="AS5" s="51">
        <f>1-G23</f>
        <v>0.91666666666666663</v>
      </c>
      <c r="AT5" s="203">
        <f>1-H24</f>
        <v>0.9156626506024097</v>
      </c>
      <c r="AU5" s="210">
        <f>1-H23</f>
        <v>0.61363636363636365</v>
      </c>
      <c r="AV5" s="207">
        <v>0</v>
      </c>
      <c r="AW5" s="51">
        <f>1-32.21%</f>
        <v>0.67789999999999995</v>
      </c>
    </row>
    <row r="6" spans="2:49" x14ac:dyDescent="0.25">
      <c r="B6" s="50" t="s">
        <v>1</v>
      </c>
      <c r="C6" s="8">
        <v>116</v>
      </c>
      <c r="D6" s="8">
        <v>107</v>
      </c>
      <c r="E6" s="8">
        <v>108</v>
      </c>
      <c r="F6" s="8">
        <v>35</v>
      </c>
      <c r="G6" s="8">
        <v>28</v>
      </c>
      <c r="H6" s="8">
        <v>83</v>
      </c>
      <c r="I6" s="8">
        <v>25</v>
      </c>
      <c r="J6" s="8">
        <v>85</v>
      </c>
      <c r="K6" s="8">
        <v>51</v>
      </c>
      <c r="L6" s="8">
        <v>28</v>
      </c>
      <c r="M6" s="8">
        <f t="shared" ref="M6:M11" si="0">SUM(K6:L6)</f>
        <v>79</v>
      </c>
      <c r="N6" s="8">
        <v>64</v>
      </c>
      <c r="O6" s="309">
        <v>96</v>
      </c>
      <c r="P6" s="309">
        <f t="shared" ref="P6:P20" si="1">SUM(N6:O6)</f>
        <v>160</v>
      </c>
      <c r="Q6" s="309">
        <v>156</v>
      </c>
      <c r="R6" s="310">
        <v>170</v>
      </c>
      <c r="T6" s="76">
        <v>0</v>
      </c>
      <c r="U6" s="72">
        <v>15</v>
      </c>
      <c r="V6" s="76">
        <v>0</v>
      </c>
      <c r="W6" s="76">
        <v>0</v>
      </c>
      <c r="X6" s="77">
        <v>4</v>
      </c>
      <c r="Y6" s="70">
        <v>9</v>
      </c>
      <c r="Z6" s="70">
        <v>25</v>
      </c>
      <c r="AA6" s="70">
        <v>24</v>
      </c>
      <c r="AB6" s="70">
        <v>31</v>
      </c>
      <c r="AC6" s="72">
        <v>3</v>
      </c>
      <c r="AD6" s="76">
        <v>0</v>
      </c>
      <c r="AE6" s="76">
        <v>0</v>
      </c>
      <c r="AF6" s="76"/>
      <c r="AG6" s="76"/>
      <c r="AH6" s="76"/>
      <c r="AI6" s="200">
        <f t="shared" ref="AI6:AI11" si="2">SUM(T6:AH6)</f>
        <v>111</v>
      </c>
      <c r="AJ6" s="135">
        <f>3+1+3+4</f>
        <v>11</v>
      </c>
      <c r="AK6" s="78">
        <f t="shared" ref="AK6:AK11" si="3">AJ6/AI6</f>
        <v>9.90990990990991E-2</v>
      </c>
      <c r="AR6" s="207">
        <f>1-G25</f>
        <v>0.89873417721518989</v>
      </c>
      <c r="AS6" s="51">
        <f>1-G26</f>
        <v>0.57499999999999996</v>
      </c>
      <c r="AT6" s="203">
        <f>1-H25</f>
        <v>0.8666666666666667</v>
      </c>
      <c r="AU6" s="210">
        <v>0</v>
      </c>
      <c r="AV6" s="207">
        <f>1-19.17%</f>
        <v>0.80830000000000002</v>
      </c>
      <c r="AW6" s="51">
        <f>1-60.86%</f>
        <v>0.39139999999999997</v>
      </c>
    </row>
    <row r="7" spans="2:49" x14ac:dyDescent="0.25">
      <c r="B7" s="50" t="s">
        <v>2</v>
      </c>
      <c r="C7" s="8">
        <v>12</v>
      </c>
      <c r="D7" s="8">
        <v>27</v>
      </c>
      <c r="E7" s="8">
        <v>23</v>
      </c>
      <c r="F7" s="8">
        <v>23</v>
      </c>
      <c r="G7" s="8">
        <v>79</v>
      </c>
      <c r="H7" s="8">
        <v>15</v>
      </c>
      <c r="I7" s="8">
        <v>3</v>
      </c>
      <c r="J7" s="8">
        <v>6</v>
      </c>
      <c r="K7" s="8">
        <v>21</v>
      </c>
      <c r="L7" s="8">
        <v>5</v>
      </c>
      <c r="M7" s="8">
        <f t="shared" si="0"/>
        <v>26</v>
      </c>
      <c r="N7" s="8">
        <v>26</v>
      </c>
      <c r="O7" s="8">
        <v>25</v>
      </c>
      <c r="P7" s="8">
        <f t="shared" si="1"/>
        <v>51</v>
      </c>
      <c r="Q7" s="8">
        <v>49</v>
      </c>
      <c r="R7" s="204">
        <v>32</v>
      </c>
      <c r="T7" s="70">
        <v>10</v>
      </c>
      <c r="U7" s="72">
        <v>18</v>
      </c>
      <c r="V7" s="70">
        <v>21</v>
      </c>
      <c r="W7" s="70">
        <v>20</v>
      </c>
      <c r="X7" s="72">
        <v>10</v>
      </c>
      <c r="Y7" s="76">
        <v>0</v>
      </c>
      <c r="Z7" s="76">
        <v>0</v>
      </c>
      <c r="AA7" s="76">
        <v>0</v>
      </c>
      <c r="AB7" s="76">
        <v>0</v>
      </c>
      <c r="AC7" s="72">
        <v>7</v>
      </c>
      <c r="AD7" s="72">
        <v>8</v>
      </c>
      <c r="AE7" s="72">
        <v>5</v>
      </c>
      <c r="AF7" s="72">
        <v>1</v>
      </c>
      <c r="AG7" s="76"/>
      <c r="AH7" s="76"/>
      <c r="AI7" s="200">
        <f t="shared" si="2"/>
        <v>100</v>
      </c>
      <c r="AJ7" s="135">
        <f>4+1+2+1+2+3+1</f>
        <v>14</v>
      </c>
      <c r="AK7" s="78">
        <f t="shared" si="3"/>
        <v>0.14000000000000001</v>
      </c>
      <c r="AR7" s="207">
        <f>1-G28</f>
        <v>0.73529411764705888</v>
      </c>
      <c r="AS7" s="51">
        <f>1-G27</f>
        <v>0.59459459459459452</v>
      </c>
      <c r="AT7" s="203">
        <f>1-H28</f>
        <v>0.94202898550724634</v>
      </c>
      <c r="AU7" s="210">
        <v>0</v>
      </c>
      <c r="AV7" s="207">
        <v>0</v>
      </c>
      <c r="AW7" s="51">
        <f>1-28.82%</f>
        <v>0.71179999999999999</v>
      </c>
    </row>
    <row r="8" spans="2:49" s="13" customFormat="1" x14ac:dyDescent="0.25">
      <c r="B8" s="54" t="s">
        <v>3</v>
      </c>
      <c r="C8" s="11">
        <v>0</v>
      </c>
      <c r="D8" s="11">
        <v>3</v>
      </c>
      <c r="E8" s="11">
        <v>11</v>
      </c>
      <c r="F8" s="11">
        <v>41</v>
      </c>
      <c r="G8" s="8">
        <v>40</v>
      </c>
      <c r="H8" s="8">
        <v>0</v>
      </c>
      <c r="I8" s="8">
        <v>49</v>
      </c>
      <c r="J8" s="8">
        <v>40</v>
      </c>
      <c r="K8" s="8">
        <v>27</v>
      </c>
      <c r="L8" s="8">
        <v>15</v>
      </c>
      <c r="M8" s="8">
        <f t="shared" si="0"/>
        <v>42</v>
      </c>
      <c r="N8" s="8">
        <v>17</v>
      </c>
      <c r="O8" s="8">
        <v>43</v>
      </c>
      <c r="P8" s="8">
        <f t="shared" si="1"/>
        <v>60</v>
      </c>
      <c r="Q8" s="11">
        <v>60</v>
      </c>
      <c r="R8" s="204">
        <v>35</v>
      </c>
      <c r="S8" s="6"/>
      <c r="T8" s="72">
        <v>7</v>
      </c>
      <c r="U8" s="72">
        <v>8</v>
      </c>
      <c r="V8" s="72">
        <v>12</v>
      </c>
      <c r="W8" s="72">
        <v>8</v>
      </c>
      <c r="X8" s="72">
        <v>5</v>
      </c>
      <c r="Y8" s="76">
        <v>0</v>
      </c>
      <c r="Z8" s="76">
        <v>0</v>
      </c>
      <c r="AA8" s="76">
        <v>0</v>
      </c>
      <c r="AB8" s="76">
        <v>0</v>
      </c>
      <c r="AC8" s="76">
        <v>0</v>
      </c>
      <c r="AD8" s="72">
        <v>3</v>
      </c>
      <c r="AE8" s="190">
        <v>11</v>
      </c>
      <c r="AF8" s="190">
        <v>16</v>
      </c>
      <c r="AG8" s="190"/>
      <c r="AH8" s="190"/>
      <c r="AI8" s="86">
        <f t="shared" si="2"/>
        <v>70</v>
      </c>
      <c r="AJ8" s="134">
        <f>3+4+4+2+4+2+10+4</f>
        <v>33</v>
      </c>
      <c r="AK8" s="79">
        <f t="shared" si="3"/>
        <v>0.47142857142857142</v>
      </c>
      <c r="AQ8" s="201" t="s">
        <v>93</v>
      </c>
      <c r="AR8" s="207">
        <f>AVERAGE(AR5:AR7)</f>
        <v>0.83039038400170195</v>
      </c>
      <c r="AS8" s="53">
        <f>AVERAGE(AS5:AS7)</f>
        <v>0.69542042042042029</v>
      </c>
      <c r="AT8" s="212">
        <f t="shared" ref="AT8:AW8" si="4">AVERAGE(AT5:AT7)</f>
        <v>0.90811943425877428</v>
      </c>
      <c r="AU8" s="53">
        <f>AU5</f>
        <v>0.61363636363636365</v>
      </c>
      <c r="AV8" s="212">
        <f>AV6</f>
        <v>0.80830000000000002</v>
      </c>
      <c r="AW8" s="53">
        <f t="shared" si="4"/>
        <v>0.59370000000000001</v>
      </c>
    </row>
    <row r="9" spans="2:49" ht="15" thickBot="1" x14ac:dyDescent="0.3">
      <c r="B9" s="50" t="s">
        <v>4</v>
      </c>
      <c r="C9" s="8">
        <v>44</v>
      </c>
      <c r="D9" s="8">
        <v>65</v>
      </c>
      <c r="E9" s="8">
        <v>24</v>
      </c>
      <c r="F9" s="8">
        <v>27</v>
      </c>
      <c r="G9" s="8">
        <v>37</v>
      </c>
      <c r="H9" s="8">
        <v>1</v>
      </c>
      <c r="I9" s="8">
        <v>55</v>
      </c>
      <c r="J9" s="8">
        <v>9</v>
      </c>
      <c r="K9" s="8">
        <v>19</v>
      </c>
      <c r="L9" s="8">
        <v>7</v>
      </c>
      <c r="M9" s="8">
        <f t="shared" si="0"/>
        <v>26</v>
      </c>
      <c r="N9" s="8">
        <v>13</v>
      </c>
      <c r="O9" s="8">
        <v>30</v>
      </c>
      <c r="P9" s="8">
        <f t="shared" si="1"/>
        <v>43</v>
      </c>
      <c r="Q9" s="8">
        <v>53</v>
      </c>
      <c r="R9" s="204">
        <v>35</v>
      </c>
      <c r="T9" s="74">
        <v>3</v>
      </c>
      <c r="U9" s="80">
        <v>3</v>
      </c>
      <c r="V9" s="80">
        <v>20</v>
      </c>
      <c r="W9" s="80">
        <v>7</v>
      </c>
      <c r="X9" s="80">
        <v>4</v>
      </c>
      <c r="Y9" s="81">
        <v>0</v>
      </c>
      <c r="Z9" s="81">
        <v>0</v>
      </c>
      <c r="AA9" s="81">
        <v>0</v>
      </c>
      <c r="AB9" s="81">
        <v>0</v>
      </c>
      <c r="AC9" s="81">
        <v>0</v>
      </c>
      <c r="AD9" s="80">
        <v>10</v>
      </c>
      <c r="AE9" s="80">
        <v>11</v>
      </c>
      <c r="AF9" s="80">
        <v>19</v>
      </c>
      <c r="AG9" s="80"/>
      <c r="AH9" s="80"/>
      <c r="AI9" s="86">
        <f t="shared" si="2"/>
        <v>77</v>
      </c>
      <c r="AJ9" s="136">
        <f>2+8+3+2+3+1+9</f>
        <v>28</v>
      </c>
      <c r="AK9" s="82">
        <f t="shared" si="3"/>
        <v>0.36363636363636365</v>
      </c>
      <c r="AQ9" s="6" t="s">
        <v>94</v>
      </c>
      <c r="AR9" s="208">
        <f>1-AR8</f>
        <v>0.16960961599829805</v>
      </c>
      <c r="AS9" s="211">
        <f t="shared" ref="AS9:AW9" si="5">1-AS8</f>
        <v>0.30457957957957971</v>
      </c>
      <c r="AT9" s="208">
        <f t="shared" si="5"/>
        <v>9.1880565741225717E-2</v>
      </c>
      <c r="AU9" s="211">
        <f t="shared" si="5"/>
        <v>0.38636363636363635</v>
      </c>
      <c r="AV9" s="208">
        <f t="shared" si="5"/>
        <v>0.19169999999999998</v>
      </c>
      <c r="AW9" s="211">
        <f t="shared" si="5"/>
        <v>0.40629999999999999</v>
      </c>
    </row>
    <row r="10" spans="2:49" x14ac:dyDescent="0.25">
      <c r="B10" s="50" t="s">
        <v>5</v>
      </c>
      <c r="C10" s="8">
        <v>94</v>
      </c>
      <c r="D10" s="8">
        <v>140</v>
      </c>
      <c r="E10" s="8">
        <v>118</v>
      </c>
      <c r="F10" s="8">
        <v>60</v>
      </c>
      <c r="G10" s="8">
        <v>34</v>
      </c>
      <c r="H10" s="8">
        <v>69</v>
      </c>
      <c r="I10" s="8">
        <v>20</v>
      </c>
      <c r="J10" s="8">
        <v>116</v>
      </c>
      <c r="K10" s="8">
        <v>56</v>
      </c>
      <c r="L10" s="8">
        <v>28</v>
      </c>
      <c r="M10" s="8">
        <f t="shared" si="0"/>
        <v>84</v>
      </c>
      <c r="N10" s="8">
        <v>66</v>
      </c>
      <c r="O10" s="309">
        <v>107</v>
      </c>
      <c r="P10" s="309">
        <f t="shared" si="1"/>
        <v>173</v>
      </c>
      <c r="Q10" s="309">
        <v>173</v>
      </c>
      <c r="R10" s="310">
        <v>148</v>
      </c>
      <c r="T10" s="70">
        <v>7</v>
      </c>
      <c r="U10" s="72">
        <v>14</v>
      </c>
      <c r="V10" s="76">
        <v>0</v>
      </c>
      <c r="W10" s="76">
        <v>0</v>
      </c>
      <c r="X10" s="72">
        <v>2</v>
      </c>
      <c r="Y10" s="72">
        <v>11</v>
      </c>
      <c r="Z10" s="70">
        <v>19</v>
      </c>
      <c r="AA10" s="70">
        <v>18</v>
      </c>
      <c r="AB10" s="70">
        <v>20</v>
      </c>
      <c r="AC10" s="72">
        <v>12</v>
      </c>
      <c r="AD10" s="76">
        <v>0</v>
      </c>
      <c r="AE10" s="76"/>
      <c r="AF10" s="76"/>
      <c r="AG10" s="76"/>
      <c r="AH10" s="76"/>
      <c r="AI10" s="200">
        <f t="shared" si="2"/>
        <v>103</v>
      </c>
      <c r="AJ10" s="135">
        <f>1+2+2+4+2+2</f>
        <v>13</v>
      </c>
      <c r="AK10" s="78">
        <f t="shared" si="3"/>
        <v>0.12621359223300971</v>
      </c>
    </row>
    <row r="11" spans="2:49" ht="15" thickBot="1" x14ac:dyDescent="0.3">
      <c r="B11" s="220" t="s">
        <v>8</v>
      </c>
      <c r="C11" s="157">
        <f>SUM(C5:C10)</f>
        <v>326</v>
      </c>
      <c r="D11" s="157">
        <f t="shared" ref="D11:R11" si="6">SUM(D5:D10)</f>
        <v>409</v>
      </c>
      <c r="E11" s="157">
        <f t="shared" si="6"/>
        <v>330</v>
      </c>
      <c r="F11" s="157">
        <f t="shared" si="6"/>
        <v>205</v>
      </c>
      <c r="G11" s="157">
        <f t="shared" si="6"/>
        <v>230</v>
      </c>
      <c r="H11" s="157">
        <f t="shared" si="6"/>
        <v>212</v>
      </c>
      <c r="I11" s="157">
        <f t="shared" si="6"/>
        <v>200</v>
      </c>
      <c r="J11" s="157">
        <f t="shared" si="6"/>
        <v>281</v>
      </c>
      <c r="K11" s="157">
        <f t="shared" si="6"/>
        <v>205</v>
      </c>
      <c r="L11" s="157">
        <f t="shared" si="6"/>
        <v>90</v>
      </c>
      <c r="M11" s="157">
        <f t="shared" si="0"/>
        <v>295</v>
      </c>
      <c r="N11" s="157">
        <f t="shared" si="6"/>
        <v>189</v>
      </c>
      <c r="O11" s="157">
        <f t="shared" si="6"/>
        <v>336</v>
      </c>
      <c r="P11" s="157">
        <f t="shared" si="1"/>
        <v>525</v>
      </c>
      <c r="Q11" s="157">
        <f t="shared" si="6"/>
        <v>510</v>
      </c>
      <c r="R11" s="221">
        <f t="shared" si="6"/>
        <v>487</v>
      </c>
      <c r="T11" s="75">
        <f>SUM(T5:T10)</f>
        <v>39</v>
      </c>
      <c r="U11" s="75">
        <f>SUM(U5:U10)</f>
        <v>58</v>
      </c>
      <c r="V11" s="75">
        <f t="shared" ref="V11:X11" si="7">SUM(V5:V10)</f>
        <v>53</v>
      </c>
      <c r="W11" s="75">
        <f t="shared" si="7"/>
        <v>35</v>
      </c>
      <c r="X11" s="75">
        <f t="shared" si="7"/>
        <v>25</v>
      </c>
      <c r="Y11" s="75">
        <f>SUM(Y5:Y10)</f>
        <v>20</v>
      </c>
      <c r="Z11" s="75">
        <f t="shared" ref="Z11:AH11" si="8">SUM(Z5:Z10)</f>
        <v>57</v>
      </c>
      <c r="AA11" s="75">
        <f t="shared" si="8"/>
        <v>51</v>
      </c>
      <c r="AB11" s="75">
        <f t="shared" si="8"/>
        <v>61</v>
      </c>
      <c r="AC11" s="75">
        <f t="shared" si="8"/>
        <v>28</v>
      </c>
      <c r="AD11" s="75">
        <f t="shared" si="8"/>
        <v>27</v>
      </c>
      <c r="AE11" s="75">
        <f t="shared" si="8"/>
        <v>39</v>
      </c>
      <c r="AF11" s="75">
        <f t="shared" si="8"/>
        <v>55</v>
      </c>
      <c r="AG11" s="75">
        <f t="shared" si="8"/>
        <v>0</v>
      </c>
      <c r="AH11" s="75">
        <f t="shared" si="8"/>
        <v>0</v>
      </c>
      <c r="AI11" s="86">
        <f t="shared" si="2"/>
        <v>548</v>
      </c>
      <c r="AJ11" s="83">
        <f>SUM(AJ5:AJ10)</f>
        <v>132</v>
      </c>
      <c r="AK11" s="84">
        <f t="shared" si="3"/>
        <v>0.24087591240875914</v>
      </c>
    </row>
    <row r="12" spans="2:49" ht="15.75" thickBot="1" x14ac:dyDescent="0.3">
      <c r="B12" s="66" t="s">
        <v>46</v>
      </c>
      <c r="AJ12" s="5" t="s">
        <v>52</v>
      </c>
      <c r="AK12" s="64"/>
    </row>
    <row r="13" spans="2:49" s="18" customFormat="1" ht="29.65" customHeight="1" thickBot="1" x14ac:dyDescent="0.3">
      <c r="B13" s="217" t="s">
        <v>48</v>
      </c>
      <c r="C13" s="154" t="s">
        <v>43</v>
      </c>
      <c r="D13" s="154" t="s">
        <v>45</v>
      </c>
      <c r="E13" s="154" t="s">
        <v>44</v>
      </c>
      <c r="F13" s="154" t="s">
        <v>47</v>
      </c>
      <c r="G13" s="153" t="s">
        <v>86</v>
      </c>
      <c r="H13" s="153" t="s">
        <v>87</v>
      </c>
      <c r="I13" s="153" t="s">
        <v>95</v>
      </c>
      <c r="J13" s="218">
        <v>44044</v>
      </c>
      <c r="K13" s="252" t="s">
        <v>110</v>
      </c>
      <c r="L13" s="252" t="s">
        <v>111</v>
      </c>
      <c r="M13" s="261">
        <v>44075</v>
      </c>
      <c r="N13" s="252" t="s">
        <v>112</v>
      </c>
      <c r="O13" s="252" t="s">
        <v>113</v>
      </c>
      <c r="P13" s="261">
        <v>44105</v>
      </c>
      <c r="Q13" s="218">
        <v>44136</v>
      </c>
      <c r="R13" s="219">
        <v>44166</v>
      </c>
      <c r="S13" s="6"/>
      <c r="T13" s="152" t="s">
        <v>18</v>
      </c>
      <c r="U13" s="153" t="s">
        <v>11</v>
      </c>
      <c r="V13" s="153" t="s">
        <v>12</v>
      </c>
      <c r="W13" s="153" t="s">
        <v>13</v>
      </c>
      <c r="X13" s="154" t="s">
        <v>14</v>
      </c>
      <c r="Y13" s="154" t="s">
        <v>22</v>
      </c>
      <c r="Z13" s="154" t="s">
        <v>20</v>
      </c>
      <c r="AA13" s="154" t="s">
        <v>16</v>
      </c>
      <c r="AB13" s="154" t="s">
        <v>32</v>
      </c>
      <c r="AC13" s="154" t="s">
        <v>33</v>
      </c>
      <c r="AD13" s="155" t="s">
        <v>34</v>
      </c>
      <c r="AE13" s="88" t="s">
        <v>84</v>
      </c>
      <c r="AF13" s="88" t="s">
        <v>88</v>
      </c>
      <c r="AG13" s="88" t="s">
        <v>89</v>
      </c>
      <c r="AH13" s="88" t="s">
        <v>90</v>
      </c>
      <c r="AI13" s="142" t="s">
        <v>50</v>
      </c>
      <c r="AJ13" s="143" t="s">
        <v>38</v>
      </c>
      <c r="AK13" s="144" t="s">
        <v>51</v>
      </c>
      <c r="AL13" s="65" t="s">
        <v>39</v>
      </c>
      <c r="AM13" s="18" t="s">
        <v>41</v>
      </c>
      <c r="AQ13" s="66"/>
    </row>
    <row r="14" spans="2:49" x14ac:dyDescent="0.25">
      <c r="B14" s="50" t="s">
        <v>0</v>
      </c>
      <c r="C14" s="8">
        <v>7</v>
      </c>
      <c r="D14" s="8">
        <v>8</v>
      </c>
      <c r="E14" s="8">
        <v>10</v>
      </c>
      <c r="F14" s="8">
        <v>1</v>
      </c>
      <c r="G14" s="8">
        <v>1</v>
      </c>
      <c r="H14" s="8">
        <v>17</v>
      </c>
      <c r="I14" s="8">
        <v>23</v>
      </c>
      <c r="J14" s="8">
        <v>5</v>
      </c>
      <c r="K14" s="8">
        <v>16</v>
      </c>
      <c r="L14" s="8">
        <v>7</v>
      </c>
      <c r="M14" s="8">
        <f>SUM(K14:L14)</f>
        <v>23</v>
      </c>
      <c r="N14" s="8">
        <v>3</v>
      </c>
      <c r="O14" s="8">
        <v>10</v>
      </c>
      <c r="P14" s="8">
        <f t="shared" si="1"/>
        <v>13</v>
      </c>
      <c r="Q14" s="8">
        <v>3</v>
      </c>
      <c r="R14" s="204">
        <v>1</v>
      </c>
      <c r="T14" s="145">
        <v>1</v>
      </c>
      <c r="U14" s="140"/>
      <c r="V14" s="140"/>
      <c r="W14" s="140"/>
      <c r="X14" s="140"/>
      <c r="Y14" s="140"/>
      <c r="Z14" s="139">
        <v>4</v>
      </c>
      <c r="AA14" s="139">
        <v>4</v>
      </c>
      <c r="AB14" s="139">
        <v>5</v>
      </c>
      <c r="AC14" s="139">
        <v>4</v>
      </c>
      <c r="AD14" s="139">
        <v>1</v>
      </c>
      <c r="AE14" s="139">
        <v>4</v>
      </c>
      <c r="AF14" s="139">
        <v>10</v>
      </c>
      <c r="AG14" s="139"/>
      <c r="AH14" s="139"/>
      <c r="AI14" s="139">
        <f t="shared" ref="AI14:AI20" si="9">AI5</f>
        <v>87</v>
      </c>
      <c r="AJ14" s="139">
        <f t="shared" ref="AJ14:AJ19" si="10">SUM(T14:AH14)</f>
        <v>33</v>
      </c>
      <c r="AK14" s="146">
        <f>1-(AJ14/AI14)</f>
        <v>0.62068965517241381</v>
      </c>
      <c r="AL14" s="5">
        <f>SUM(T14:AH14)</f>
        <v>33</v>
      </c>
      <c r="AM14" s="5">
        <f t="shared" ref="AM14:AM19" si="11">AL14-AJ14</f>
        <v>0</v>
      </c>
      <c r="AN14" s="6" t="s">
        <v>42</v>
      </c>
    </row>
    <row r="15" spans="2:49" x14ac:dyDescent="0.25">
      <c r="B15" s="50" t="s">
        <v>1</v>
      </c>
      <c r="C15" s="8">
        <v>13</v>
      </c>
      <c r="D15" s="8">
        <v>17</v>
      </c>
      <c r="E15" s="8">
        <v>8</v>
      </c>
      <c r="F15" s="8">
        <v>2</v>
      </c>
      <c r="G15" s="8">
        <v>4</v>
      </c>
      <c r="H15" s="8">
        <v>7</v>
      </c>
      <c r="I15" s="8">
        <v>1</v>
      </c>
      <c r="J15" s="8">
        <v>6</v>
      </c>
      <c r="K15" s="8">
        <v>0</v>
      </c>
      <c r="L15" s="8">
        <v>4</v>
      </c>
      <c r="M15" s="8">
        <f t="shared" ref="M15:M20" si="12">SUM(K15:L15)</f>
        <v>4</v>
      </c>
      <c r="N15" s="8">
        <v>9</v>
      </c>
      <c r="O15" s="309">
        <v>6</v>
      </c>
      <c r="P15" s="309">
        <f t="shared" si="1"/>
        <v>15</v>
      </c>
      <c r="Q15" s="309">
        <v>3</v>
      </c>
      <c r="R15" s="310">
        <v>8</v>
      </c>
      <c r="T15" s="147"/>
      <c r="U15" s="141">
        <v>3</v>
      </c>
      <c r="V15" s="140"/>
      <c r="W15" s="140"/>
      <c r="X15" s="141">
        <v>1</v>
      </c>
      <c r="Y15" s="139">
        <v>0</v>
      </c>
      <c r="Z15" s="139">
        <v>3</v>
      </c>
      <c r="AA15" s="139">
        <v>4</v>
      </c>
      <c r="AB15" s="139">
        <v>0</v>
      </c>
      <c r="AC15" s="141">
        <v>0</v>
      </c>
      <c r="AD15" s="140"/>
      <c r="AE15" s="140"/>
      <c r="AF15" s="140"/>
      <c r="AG15" s="140"/>
      <c r="AH15" s="140"/>
      <c r="AI15" s="158">
        <f t="shared" si="9"/>
        <v>111</v>
      </c>
      <c r="AJ15" s="158">
        <f t="shared" si="10"/>
        <v>11</v>
      </c>
      <c r="AK15" s="159">
        <f t="shared" ref="AK15:AK20" si="13">1-(AJ15/AI15)</f>
        <v>0.90090090090090091</v>
      </c>
      <c r="AL15" s="5">
        <f t="shared" ref="AL15:AL19" si="14">SUM(T15:AH15)</f>
        <v>11</v>
      </c>
      <c r="AM15" s="5">
        <f t="shared" si="11"/>
        <v>0</v>
      </c>
    </row>
    <row r="16" spans="2:49" x14ac:dyDescent="0.25">
      <c r="B16" s="50" t="s">
        <v>2</v>
      </c>
      <c r="C16" s="8">
        <v>5</v>
      </c>
      <c r="D16" s="8">
        <v>5</v>
      </c>
      <c r="E16" s="8">
        <v>9</v>
      </c>
      <c r="F16" s="8">
        <v>8</v>
      </c>
      <c r="G16" s="8">
        <v>8</v>
      </c>
      <c r="H16" s="8">
        <v>2</v>
      </c>
      <c r="I16" s="8">
        <v>3</v>
      </c>
      <c r="J16" s="8">
        <v>2</v>
      </c>
      <c r="K16" s="8">
        <v>10</v>
      </c>
      <c r="L16" s="8">
        <v>1</v>
      </c>
      <c r="M16" s="8">
        <f t="shared" si="12"/>
        <v>11</v>
      </c>
      <c r="N16" s="8">
        <v>8</v>
      </c>
      <c r="O16" s="8">
        <v>7</v>
      </c>
      <c r="P16" s="8">
        <f t="shared" si="1"/>
        <v>15</v>
      </c>
      <c r="Q16" s="8">
        <v>6</v>
      </c>
      <c r="R16" s="204">
        <v>10</v>
      </c>
      <c r="T16" s="145">
        <v>4</v>
      </c>
      <c r="U16" s="141">
        <v>1</v>
      </c>
      <c r="V16" s="139">
        <v>2</v>
      </c>
      <c r="W16" s="139">
        <v>1</v>
      </c>
      <c r="X16" s="141">
        <v>0</v>
      </c>
      <c r="Y16" s="140"/>
      <c r="Z16" s="140"/>
      <c r="AA16" s="140"/>
      <c r="AB16" s="140"/>
      <c r="AC16" s="141">
        <v>2</v>
      </c>
      <c r="AD16" s="141">
        <v>3</v>
      </c>
      <c r="AE16" s="141">
        <v>1</v>
      </c>
      <c r="AF16" s="141">
        <v>0</v>
      </c>
      <c r="AG16" s="140"/>
      <c r="AH16" s="140"/>
      <c r="AI16" s="158">
        <f t="shared" si="9"/>
        <v>100</v>
      </c>
      <c r="AJ16" s="158">
        <f t="shared" si="10"/>
        <v>14</v>
      </c>
      <c r="AK16" s="159">
        <f t="shared" si="13"/>
        <v>0.86</v>
      </c>
      <c r="AL16" s="5">
        <f t="shared" si="14"/>
        <v>14</v>
      </c>
      <c r="AM16" s="5">
        <f t="shared" si="11"/>
        <v>0</v>
      </c>
    </row>
    <row r="17" spans="2:43" s="13" customFormat="1" x14ac:dyDescent="0.25">
      <c r="B17" s="54" t="s">
        <v>3</v>
      </c>
      <c r="C17" s="11">
        <v>0</v>
      </c>
      <c r="D17" s="11">
        <v>1</v>
      </c>
      <c r="E17" s="11">
        <v>2</v>
      </c>
      <c r="F17" s="11">
        <v>24</v>
      </c>
      <c r="G17" s="8">
        <v>17</v>
      </c>
      <c r="H17" s="8">
        <v>0</v>
      </c>
      <c r="I17" s="8">
        <v>17</v>
      </c>
      <c r="J17" s="8">
        <v>9</v>
      </c>
      <c r="K17" s="8">
        <v>3</v>
      </c>
      <c r="L17" s="8">
        <v>5</v>
      </c>
      <c r="M17" s="8">
        <f t="shared" si="12"/>
        <v>8</v>
      </c>
      <c r="N17" s="8">
        <v>3</v>
      </c>
      <c r="O17" s="8">
        <v>14</v>
      </c>
      <c r="P17" s="8">
        <f t="shared" si="1"/>
        <v>17</v>
      </c>
      <c r="Q17" s="8">
        <v>5</v>
      </c>
      <c r="R17" s="204">
        <v>14</v>
      </c>
      <c r="S17" s="6"/>
      <c r="T17" s="148">
        <v>3</v>
      </c>
      <c r="U17" s="141">
        <v>4</v>
      </c>
      <c r="V17" s="141">
        <v>4</v>
      </c>
      <c r="W17" s="141">
        <v>2</v>
      </c>
      <c r="X17" s="141">
        <v>4</v>
      </c>
      <c r="Y17" s="140"/>
      <c r="Z17" s="140"/>
      <c r="AA17" s="140"/>
      <c r="AB17" s="140"/>
      <c r="AC17" s="140"/>
      <c r="AD17" s="141">
        <v>2</v>
      </c>
      <c r="AE17" s="191">
        <v>10</v>
      </c>
      <c r="AF17" s="191">
        <v>4</v>
      </c>
      <c r="AG17" s="191"/>
      <c r="AH17" s="191"/>
      <c r="AI17" s="139">
        <f t="shared" si="9"/>
        <v>70</v>
      </c>
      <c r="AJ17" s="139">
        <f t="shared" si="10"/>
        <v>33</v>
      </c>
      <c r="AK17" s="146">
        <f t="shared" si="13"/>
        <v>0.52857142857142858</v>
      </c>
      <c r="AL17" s="5">
        <f t="shared" si="14"/>
        <v>33</v>
      </c>
      <c r="AM17" s="5">
        <f t="shared" si="11"/>
        <v>0</v>
      </c>
      <c r="AQ17" s="201"/>
    </row>
    <row r="18" spans="2:43" x14ac:dyDescent="0.25">
      <c r="B18" s="50" t="s">
        <v>4</v>
      </c>
      <c r="C18" s="8">
        <v>14</v>
      </c>
      <c r="D18" s="8">
        <v>20</v>
      </c>
      <c r="E18" s="8">
        <v>5</v>
      </c>
      <c r="F18" s="8">
        <v>8</v>
      </c>
      <c r="G18" s="8">
        <v>15</v>
      </c>
      <c r="H18" s="8">
        <v>0</v>
      </c>
      <c r="I18" s="8">
        <v>24</v>
      </c>
      <c r="J18" s="8">
        <v>5</v>
      </c>
      <c r="K18" s="8">
        <v>13</v>
      </c>
      <c r="L18" s="8">
        <v>4</v>
      </c>
      <c r="M18" s="8">
        <f t="shared" si="12"/>
        <v>17</v>
      </c>
      <c r="N18" s="8">
        <v>5</v>
      </c>
      <c r="O18" s="8">
        <v>13</v>
      </c>
      <c r="P18" s="8">
        <f t="shared" si="1"/>
        <v>18</v>
      </c>
      <c r="Q18" s="8">
        <v>6</v>
      </c>
      <c r="R18" s="204">
        <v>8</v>
      </c>
      <c r="T18" s="145">
        <v>0</v>
      </c>
      <c r="U18" s="141">
        <v>2</v>
      </c>
      <c r="V18" s="141">
        <v>8</v>
      </c>
      <c r="W18" s="141">
        <v>3</v>
      </c>
      <c r="X18" s="141">
        <v>2</v>
      </c>
      <c r="Y18" s="140"/>
      <c r="Z18" s="140"/>
      <c r="AA18" s="140"/>
      <c r="AB18" s="140"/>
      <c r="AC18" s="140"/>
      <c r="AD18" s="141">
        <v>3</v>
      </c>
      <c r="AE18" s="141">
        <v>1</v>
      </c>
      <c r="AF18" s="141">
        <v>9</v>
      </c>
      <c r="AG18" s="141"/>
      <c r="AH18" s="141"/>
      <c r="AI18" s="139">
        <f t="shared" si="9"/>
        <v>77</v>
      </c>
      <c r="AJ18" s="139">
        <f t="shared" si="10"/>
        <v>28</v>
      </c>
      <c r="AK18" s="146">
        <f t="shared" si="13"/>
        <v>0.63636363636363635</v>
      </c>
      <c r="AL18" s="5">
        <f t="shared" si="14"/>
        <v>28</v>
      </c>
      <c r="AM18" s="5">
        <f t="shared" si="11"/>
        <v>0</v>
      </c>
    </row>
    <row r="19" spans="2:43" x14ac:dyDescent="0.25">
      <c r="B19" s="50" t="s">
        <v>5</v>
      </c>
      <c r="C19" s="8">
        <v>11</v>
      </c>
      <c r="D19" s="8">
        <v>14</v>
      </c>
      <c r="E19" s="8">
        <v>10</v>
      </c>
      <c r="F19" s="8">
        <v>1</v>
      </c>
      <c r="G19" s="8">
        <v>9</v>
      </c>
      <c r="H19" s="8">
        <v>4</v>
      </c>
      <c r="I19" s="8">
        <v>1</v>
      </c>
      <c r="J19" s="8">
        <v>4</v>
      </c>
      <c r="K19" s="8">
        <v>6</v>
      </c>
      <c r="L19" s="8">
        <v>8</v>
      </c>
      <c r="M19" s="8">
        <f t="shared" si="12"/>
        <v>14</v>
      </c>
      <c r="N19" s="8">
        <v>9</v>
      </c>
      <c r="O19" s="309">
        <v>13</v>
      </c>
      <c r="P19" s="309">
        <f t="shared" si="1"/>
        <v>22</v>
      </c>
      <c r="Q19" s="309">
        <v>9</v>
      </c>
      <c r="R19" s="310">
        <v>3</v>
      </c>
      <c r="T19" s="145">
        <v>1</v>
      </c>
      <c r="U19" s="141">
        <v>2</v>
      </c>
      <c r="V19" s="140"/>
      <c r="W19" s="140"/>
      <c r="X19" s="141">
        <v>2</v>
      </c>
      <c r="Y19" s="141">
        <v>4</v>
      </c>
      <c r="Z19" s="139">
        <v>2</v>
      </c>
      <c r="AA19" s="139">
        <v>2</v>
      </c>
      <c r="AB19" s="139">
        <v>0</v>
      </c>
      <c r="AC19" s="141">
        <v>0</v>
      </c>
      <c r="AD19" s="140"/>
      <c r="AE19" s="140"/>
      <c r="AF19" s="140"/>
      <c r="AG19" s="140"/>
      <c r="AH19" s="140"/>
      <c r="AI19" s="158">
        <f t="shared" si="9"/>
        <v>103</v>
      </c>
      <c r="AJ19" s="158">
        <f t="shared" si="10"/>
        <v>13</v>
      </c>
      <c r="AK19" s="159">
        <f t="shared" si="13"/>
        <v>0.87378640776699035</v>
      </c>
      <c r="AL19" s="5">
        <f t="shared" si="14"/>
        <v>13</v>
      </c>
      <c r="AM19" s="5">
        <f t="shared" si="11"/>
        <v>0</v>
      </c>
    </row>
    <row r="20" spans="2:43" ht="15" thickBot="1" x14ac:dyDescent="0.3">
      <c r="B20" s="220" t="s">
        <v>8</v>
      </c>
      <c r="C20" s="157">
        <f>SUM(C14:C19)</f>
        <v>50</v>
      </c>
      <c r="D20" s="157">
        <f t="shared" ref="D20:R20" si="15">SUM(D14:D19)</f>
        <v>65</v>
      </c>
      <c r="E20" s="157">
        <f t="shared" si="15"/>
        <v>44</v>
      </c>
      <c r="F20" s="157">
        <f t="shared" si="15"/>
        <v>44</v>
      </c>
      <c r="G20" s="157">
        <f t="shared" si="15"/>
        <v>54</v>
      </c>
      <c r="H20" s="157">
        <f t="shared" si="15"/>
        <v>30</v>
      </c>
      <c r="I20" s="157">
        <f t="shared" si="15"/>
        <v>69</v>
      </c>
      <c r="J20" s="157">
        <f t="shared" si="15"/>
        <v>31</v>
      </c>
      <c r="K20" s="157">
        <f t="shared" si="15"/>
        <v>48</v>
      </c>
      <c r="L20" s="157">
        <f t="shared" si="15"/>
        <v>29</v>
      </c>
      <c r="M20" s="157">
        <f t="shared" si="12"/>
        <v>77</v>
      </c>
      <c r="N20" s="157">
        <f t="shared" si="15"/>
        <v>37</v>
      </c>
      <c r="O20" s="157">
        <f t="shared" si="15"/>
        <v>63</v>
      </c>
      <c r="P20" s="157">
        <f t="shared" si="1"/>
        <v>100</v>
      </c>
      <c r="Q20" s="157">
        <f t="shared" si="15"/>
        <v>32</v>
      </c>
      <c r="R20" s="221">
        <f t="shared" si="15"/>
        <v>44</v>
      </c>
      <c r="T20" s="156">
        <f>SUM(T14:T19)</f>
        <v>9</v>
      </c>
      <c r="U20" s="157">
        <f>SUM(U14:U19)</f>
        <v>12</v>
      </c>
      <c r="V20" s="157">
        <f t="shared" ref="V20:X20" si="16">SUM(V14:V19)</f>
        <v>14</v>
      </c>
      <c r="W20" s="157">
        <f t="shared" si="16"/>
        <v>6</v>
      </c>
      <c r="X20" s="157">
        <f t="shared" si="16"/>
        <v>9</v>
      </c>
      <c r="Y20" s="157">
        <f>SUM(Y14:Y19)</f>
        <v>4</v>
      </c>
      <c r="Z20" s="157">
        <f t="shared" ref="Z20:AH20" si="17">SUM(Z14:Z19)</f>
        <v>9</v>
      </c>
      <c r="AA20" s="157">
        <f t="shared" si="17"/>
        <v>10</v>
      </c>
      <c r="AB20" s="157">
        <f t="shared" si="17"/>
        <v>5</v>
      </c>
      <c r="AC20" s="157">
        <f t="shared" si="17"/>
        <v>6</v>
      </c>
      <c r="AD20" s="149">
        <f t="shared" si="17"/>
        <v>9</v>
      </c>
      <c r="AE20" s="149">
        <f t="shared" si="17"/>
        <v>16</v>
      </c>
      <c r="AF20" s="149">
        <f t="shared" si="17"/>
        <v>23</v>
      </c>
      <c r="AG20" s="149">
        <f t="shared" si="17"/>
        <v>0</v>
      </c>
      <c r="AH20" s="149">
        <f t="shared" si="17"/>
        <v>0</v>
      </c>
      <c r="AI20" s="149">
        <f t="shared" si="9"/>
        <v>548</v>
      </c>
      <c r="AJ20" s="139">
        <f t="shared" ref="AJ20" si="18">SUM(T20:AE20)</f>
        <v>109</v>
      </c>
      <c r="AK20" s="150">
        <f t="shared" si="13"/>
        <v>0.80109489051094895</v>
      </c>
      <c r="AL20" s="5">
        <f>SUM(T20:AH20)</f>
        <v>132</v>
      </c>
    </row>
    <row r="21" spans="2:43" ht="15.75" thickBot="1" x14ac:dyDescent="0.3">
      <c r="B21" s="66" t="s">
        <v>85</v>
      </c>
      <c r="AJ21" s="63"/>
      <c r="AK21" s="64"/>
    </row>
    <row r="22" spans="2:43" ht="30.75" thickBot="1" x14ac:dyDescent="0.3">
      <c r="B22" s="217" t="s">
        <v>48</v>
      </c>
      <c r="C22" s="154" t="s">
        <v>43</v>
      </c>
      <c r="D22" s="154" t="s">
        <v>45</v>
      </c>
      <c r="E22" s="154" t="s">
        <v>44</v>
      </c>
      <c r="F22" s="154" t="s">
        <v>47</v>
      </c>
      <c r="G22" s="153" t="s">
        <v>86</v>
      </c>
      <c r="H22" s="153" t="s">
        <v>87</v>
      </c>
      <c r="I22" s="153" t="s">
        <v>95</v>
      </c>
      <c r="J22" s="218">
        <v>44044</v>
      </c>
      <c r="K22" s="252" t="s">
        <v>110</v>
      </c>
      <c r="L22" s="252" t="s">
        <v>111</v>
      </c>
      <c r="M22" s="261">
        <v>44075</v>
      </c>
      <c r="N22" s="252" t="s">
        <v>112</v>
      </c>
      <c r="O22" s="252" t="s">
        <v>113</v>
      </c>
      <c r="P22" s="268">
        <v>44105</v>
      </c>
      <c r="Q22" s="218">
        <v>44136</v>
      </c>
      <c r="R22" s="219">
        <v>44166</v>
      </c>
      <c r="T22" s="91" t="s">
        <v>18</v>
      </c>
      <c r="U22" s="91" t="s">
        <v>11</v>
      </c>
      <c r="V22" s="91" t="s">
        <v>12</v>
      </c>
      <c r="W22" s="91" t="s">
        <v>13</v>
      </c>
      <c r="X22" s="88" t="s">
        <v>14</v>
      </c>
      <c r="Y22" s="88" t="s">
        <v>22</v>
      </c>
      <c r="Z22" s="88" t="s">
        <v>20</v>
      </c>
      <c r="AA22" s="88" t="s">
        <v>16</v>
      </c>
      <c r="AB22" s="88" t="s">
        <v>32</v>
      </c>
      <c r="AC22" s="88" t="s">
        <v>33</v>
      </c>
      <c r="AD22" s="88" t="s">
        <v>34</v>
      </c>
      <c r="AE22" s="88" t="s">
        <v>84</v>
      </c>
      <c r="AF22" s="88" t="s">
        <v>88</v>
      </c>
      <c r="AG22" s="88" t="s">
        <v>89</v>
      </c>
      <c r="AH22" s="88" t="s">
        <v>90</v>
      </c>
      <c r="AI22" s="173"/>
      <c r="AJ22" s="93" t="s">
        <v>40</v>
      </c>
    </row>
    <row r="23" spans="2:43" x14ac:dyDescent="0.25">
      <c r="B23" s="54" t="s">
        <v>0</v>
      </c>
      <c r="C23" s="9">
        <f t="shared" ref="C23:R23" si="19">(C14/C5)</f>
        <v>0.11666666666666667</v>
      </c>
      <c r="D23" s="9">
        <f t="shared" si="19"/>
        <v>0.11940298507462686</v>
      </c>
      <c r="E23" s="9">
        <f t="shared" si="19"/>
        <v>0.21739130434782608</v>
      </c>
      <c r="F23" s="9">
        <f t="shared" si="19"/>
        <v>5.2631578947368418E-2</v>
      </c>
      <c r="G23" s="9">
        <f t="shared" si="19"/>
        <v>8.3333333333333329E-2</v>
      </c>
      <c r="H23" s="9">
        <f t="shared" si="19"/>
        <v>0.38636363636363635</v>
      </c>
      <c r="I23" s="9">
        <f t="shared" si="19"/>
        <v>0.47916666666666669</v>
      </c>
      <c r="J23" s="9">
        <f t="shared" si="19"/>
        <v>0.2</v>
      </c>
      <c r="K23" s="9">
        <f t="shared" si="19"/>
        <v>0.5161290322580645</v>
      </c>
      <c r="L23" s="9">
        <f t="shared" si="19"/>
        <v>1</v>
      </c>
      <c r="M23" s="9">
        <f t="shared" si="19"/>
        <v>0.60526315789473684</v>
      </c>
      <c r="N23" s="9">
        <f t="shared" si="19"/>
        <v>1</v>
      </c>
      <c r="O23" s="9">
        <f t="shared" si="19"/>
        <v>0.2857142857142857</v>
      </c>
      <c r="P23" s="9">
        <f t="shared" si="19"/>
        <v>0.34210526315789475</v>
      </c>
      <c r="Q23" s="9">
        <f t="shared" si="19"/>
        <v>0.15789473684210525</v>
      </c>
      <c r="R23" s="51">
        <f t="shared" si="19"/>
        <v>1.4925373134328358E-2</v>
      </c>
      <c r="S23" s="64"/>
      <c r="T23" s="90">
        <f t="shared" ref="T23:AH23" si="20">(T14/T5)</f>
        <v>8.3333333333333329E-2</v>
      </c>
      <c r="U23" s="138" t="e">
        <f t="shared" si="20"/>
        <v>#DIV/0!</v>
      </c>
      <c r="V23" s="138" t="e">
        <f t="shared" si="20"/>
        <v>#DIV/0!</v>
      </c>
      <c r="W23" s="138" t="e">
        <f t="shared" si="20"/>
        <v>#DIV/0!</v>
      </c>
      <c r="X23" s="138" t="e">
        <f t="shared" si="20"/>
        <v>#DIV/0!</v>
      </c>
      <c r="Y23" s="138" t="e">
        <f t="shared" si="20"/>
        <v>#DIV/0!</v>
      </c>
      <c r="Z23" s="90">
        <f t="shared" si="20"/>
        <v>0.30769230769230771</v>
      </c>
      <c r="AA23" s="90">
        <f t="shared" si="20"/>
        <v>0.44444444444444442</v>
      </c>
      <c r="AB23" s="90">
        <f t="shared" si="20"/>
        <v>0.5</v>
      </c>
      <c r="AC23" s="90">
        <f t="shared" si="20"/>
        <v>0.66666666666666663</v>
      </c>
      <c r="AD23" s="90">
        <f t="shared" si="20"/>
        <v>0.16666666666666666</v>
      </c>
      <c r="AE23" s="90">
        <f t="shared" si="20"/>
        <v>0.33333333333333331</v>
      </c>
      <c r="AF23" s="90">
        <f t="shared" si="20"/>
        <v>0.52631578947368418</v>
      </c>
      <c r="AG23" s="90" t="e">
        <f t="shared" si="20"/>
        <v>#DIV/0!</v>
      </c>
      <c r="AH23" s="90" t="e">
        <f t="shared" si="20"/>
        <v>#DIV/0!</v>
      </c>
      <c r="AI23" s="174"/>
      <c r="AJ23" s="97">
        <f t="shared" ref="AJ23:AJ29" si="21">AJ14/AI5</f>
        <v>0.37931034482758619</v>
      </c>
    </row>
    <row r="24" spans="2:43" x14ac:dyDescent="0.25">
      <c r="B24" s="54" t="s">
        <v>1</v>
      </c>
      <c r="C24" s="9">
        <f t="shared" ref="C24:R24" si="22">(C15/C6)</f>
        <v>0.11206896551724138</v>
      </c>
      <c r="D24" s="9">
        <f t="shared" si="22"/>
        <v>0.15887850467289719</v>
      </c>
      <c r="E24" s="9">
        <f t="shared" si="22"/>
        <v>7.407407407407407E-2</v>
      </c>
      <c r="F24" s="9">
        <f t="shared" si="22"/>
        <v>5.7142857142857141E-2</v>
      </c>
      <c r="G24" s="9">
        <f t="shared" si="22"/>
        <v>0.14285714285714285</v>
      </c>
      <c r="H24" s="9">
        <f t="shared" si="22"/>
        <v>8.4337349397590355E-2</v>
      </c>
      <c r="I24" s="9">
        <f t="shared" si="22"/>
        <v>0.04</v>
      </c>
      <c r="J24" s="9">
        <f t="shared" si="22"/>
        <v>7.0588235294117646E-2</v>
      </c>
      <c r="K24" s="9">
        <f t="shared" si="22"/>
        <v>0</v>
      </c>
      <c r="L24" s="9">
        <f t="shared" si="22"/>
        <v>0.14285714285714285</v>
      </c>
      <c r="M24" s="9">
        <f t="shared" si="22"/>
        <v>5.0632911392405063E-2</v>
      </c>
      <c r="N24" s="9">
        <f t="shared" si="22"/>
        <v>0.140625</v>
      </c>
      <c r="O24" s="9">
        <f t="shared" si="22"/>
        <v>6.25E-2</v>
      </c>
      <c r="P24" s="9">
        <f t="shared" si="22"/>
        <v>9.375E-2</v>
      </c>
      <c r="Q24" s="9">
        <f t="shared" si="22"/>
        <v>1.9230769230769232E-2</v>
      </c>
      <c r="R24" s="51">
        <f t="shared" si="22"/>
        <v>4.7058823529411764E-2</v>
      </c>
      <c r="S24" s="64"/>
      <c r="T24" s="137" t="e">
        <f t="shared" ref="T24:AH24" si="23">(T15/T6)</f>
        <v>#DIV/0!</v>
      </c>
      <c r="U24" s="98">
        <f t="shared" si="23"/>
        <v>0.2</v>
      </c>
      <c r="V24" s="137" t="e">
        <f t="shared" si="23"/>
        <v>#DIV/0!</v>
      </c>
      <c r="W24" s="137" t="e">
        <f t="shared" si="23"/>
        <v>#DIV/0!</v>
      </c>
      <c r="X24" s="98">
        <f t="shared" si="23"/>
        <v>0.25</v>
      </c>
      <c r="Y24" s="98">
        <f t="shared" si="23"/>
        <v>0</v>
      </c>
      <c r="Z24" s="98">
        <f t="shared" si="23"/>
        <v>0.12</v>
      </c>
      <c r="AA24" s="98">
        <f t="shared" si="23"/>
        <v>0.16666666666666666</v>
      </c>
      <c r="AB24" s="98">
        <f t="shared" si="23"/>
        <v>0</v>
      </c>
      <c r="AC24" s="98">
        <f t="shared" si="23"/>
        <v>0</v>
      </c>
      <c r="AD24" s="137" t="e">
        <f t="shared" si="23"/>
        <v>#DIV/0!</v>
      </c>
      <c r="AE24" s="137" t="e">
        <f t="shared" si="23"/>
        <v>#DIV/0!</v>
      </c>
      <c r="AF24" s="137" t="e">
        <f t="shared" si="23"/>
        <v>#DIV/0!</v>
      </c>
      <c r="AG24" s="137" t="e">
        <f t="shared" si="23"/>
        <v>#DIV/0!</v>
      </c>
      <c r="AH24" s="137" t="e">
        <f t="shared" si="23"/>
        <v>#DIV/0!</v>
      </c>
      <c r="AI24" s="175"/>
      <c r="AJ24" s="95">
        <f t="shared" si="21"/>
        <v>9.90990990990991E-2</v>
      </c>
    </row>
    <row r="25" spans="2:43" x14ac:dyDescent="0.25">
      <c r="B25" s="54" t="s">
        <v>2</v>
      </c>
      <c r="C25" s="9">
        <f t="shared" ref="C25:R25" si="24">(C16/C7)</f>
        <v>0.41666666666666669</v>
      </c>
      <c r="D25" s="9">
        <f t="shared" si="24"/>
        <v>0.18518518518518517</v>
      </c>
      <c r="E25" s="9">
        <f t="shared" si="24"/>
        <v>0.39130434782608697</v>
      </c>
      <c r="F25" s="9">
        <f t="shared" si="24"/>
        <v>0.34782608695652173</v>
      </c>
      <c r="G25" s="9">
        <f t="shared" si="24"/>
        <v>0.10126582278481013</v>
      </c>
      <c r="H25" s="9">
        <f t="shared" si="24"/>
        <v>0.13333333333333333</v>
      </c>
      <c r="I25" s="9">
        <f t="shared" si="24"/>
        <v>1</v>
      </c>
      <c r="J25" s="9">
        <f t="shared" si="24"/>
        <v>0.33333333333333331</v>
      </c>
      <c r="K25" s="9">
        <f t="shared" si="24"/>
        <v>0.47619047619047616</v>
      </c>
      <c r="L25" s="9">
        <f t="shared" si="24"/>
        <v>0.2</v>
      </c>
      <c r="M25" s="9">
        <f t="shared" si="24"/>
        <v>0.42307692307692307</v>
      </c>
      <c r="N25" s="9">
        <f t="shared" si="24"/>
        <v>0.30769230769230771</v>
      </c>
      <c r="O25" s="9">
        <f t="shared" si="24"/>
        <v>0.28000000000000003</v>
      </c>
      <c r="P25" s="9">
        <f t="shared" si="24"/>
        <v>0.29411764705882354</v>
      </c>
      <c r="Q25" s="9">
        <f t="shared" si="24"/>
        <v>0.12244897959183673</v>
      </c>
      <c r="R25" s="51">
        <f t="shared" si="24"/>
        <v>0.3125</v>
      </c>
      <c r="S25" s="64"/>
      <c r="T25" s="98">
        <f t="shared" ref="T25:AH25" si="25">(T16/T7)</f>
        <v>0.4</v>
      </c>
      <c r="U25" s="98">
        <f t="shared" si="25"/>
        <v>5.5555555555555552E-2</v>
      </c>
      <c r="V25" s="98">
        <f t="shared" si="25"/>
        <v>9.5238095238095233E-2</v>
      </c>
      <c r="W25" s="98">
        <f t="shared" si="25"/>
        <v>0.05</v>
      </c>
      <c r="X25" s="98">
        <f t="shared" si="25"/>
        <v>0</v>
      </c>
      <c r="Y25" s="137" t="e">
        <f t="shared" si="25"/>
        <v>#DIV/0!</v>
      </c>
      <c r="Z25" s="137" t="e">
        <f t="shared" si="25"/>
        <v>#DIV/0!</v>
      </c>
      <c r="AA25" s="137" t="e">
        <f t="shared" si="25"/>
        <v>#DIV/0!</v>
      </c>
      <c r="AB25" s="137" t="e">
        <f t="shared" si="25"/>
        <v>#DIV/0!</v>
      </c>
      <c r="AC25" s="98">
        <f t="shared" si="25"/>
        <v>0.2857142857142857</v>
      </c>
      <c r="AD25" s="98">
        <f t="shared" si="25"/>
        <v>0.375</v>
      </c>
      <c r="AE25" s="98">
        <f t="shared" si="25"/>
        <v>0.2</v>
      </c>
      <c r="AF25" s="98">
        <f t="shared" si="25"/>
        <v>0</v>
      </c>
      <c r="AG25" s="98" t="e">
        <f t="shared" si="25"/>
        <v>#DIV/0!</v>
      </c>
      <c r="AH25" s="98" t="e">
        <f t="shared" si="25"/>
        <v>#DIV/0!</v>
      </c>
      <c r="AI25" s="175"/>
      <c r="AJ25" s="95">
        <f t="shared" si="21"/>
        <v>0.14000000000000001</v>
      </c>
    </row>
    <row r="26" spans="2:43" x14ac:dyDescent="0.25">
      <c r="B26" s="54" t="s">
        <v>3</v>
      </c>
      <c r="C26" s="31" t="e">
        <f t="shared" ref="C26:R26" si="26">(C17/C8)</f>
        <v>#DIV/0!</v>
      </c>
      <c r="D26" s="31">
        <f t="shared" si="26"/>
        <v>0.33333333333333331</v>
      </c>
      <c r="E26" s="31">
        <f t="shared" si="26"/>
        <v>0.18181818181818182</v>
      </c>
      <c r="F26" s="31">
        <f t="shared" si="26"/>
        <v>0.58536585365853655</v>
      </c>
      <c r="G26" s="31">
        <f t="shared" si="26"/>
        <v>0.42499999999999999</v>
      </c>
      <c r="H26" s="31" t="e">
        <f t="shared" si="26"/>
        <v>#DIV/0!</v>
      </c>
      <c r="I26" s="31">
        <f t="shared" si="26"/>
        <v>0.34693877551020408</v>
      </c>
      <c r="J26" s="31">
        <f t="shared" si="26"/>
        <v>0.22500000000000001</v>
      </c>
      <c r="K26" s="31">
        <f t="shared" si="26"/>
        <v>0.1111111111111111</v>
      </c>
      <c r="L26" s="31">
        <f t="shared" si="26"/>
        <v>0.33333333333333331</v>
      </c>
      <c r="M26" s="31">
        <f t="shared" si="26"/>
        <v>0.19047619047619047</v>
      </c>
      <c r="N26" s="31">
        <f t="shared" si="26"/>
        <v>0.17647058823529413</v>
      </c>
      <c r="O26" s="31">
        <f t="shared" si="26"/>
        <v>0.32558139534883723</v>
      </c>
      <c r="P26" s="31">
        <f t="shared" si="26"/>
        <v>0.28333333333333333</v>
      </c>
      <c r="Q26" s="31">
        <f t="shared" si="26"/>
        <v>8.3333333333333329E-2</v>
      </c>
      <c r="R26" s="53">
        <f t="shared" si="26"/>
        <v>0.4</v>
      </c>
      <c r="S26" s="58"/>
      <c r="T26" s="79">
        <f t="shared" ref="T26:AH26" si="27">(T17/T8)</f>
        <v>0.42857142857142855</v>
      </c>
      <c r="U26" s="79">
        <f t="shared" si="27"/>
        <v>0.5</v>
      </c>
      <c r="V26" s="79">
        <f t="shared" si="27"/>
        <v>0.33333333333333331</v>
      </c>
      <c r="W26" s="79">
        <f t="shared" si="27"/>
        <v>0.25</v>
      </c>
      <c r="X26" s="79">
        <f t="shared" si="27"/>
        <v>0.8</v>
      </c>
      <c r="Y26" s="137" t="e">
        <f t="shared" si="27"/>
        <v>#DIV/0!</v>
      </c>
      <c r="Z26" s="137" t="e">
        <f t="shared" si="27"/>
        <v>#DIV/0!</v>
      </c>
      <c r="AA26" s="137" t="e">
        <f t="shared" si="27"/>
        <v>#DIV/0!</v>
      </c>
      <c r="AB26" s="137" t="e">
        <f t="shared" si="27"/>
        <v>#DIV/0!</v>
      </c>
      <c r="AC26" s="137" t="e">
        <f t="shared" si="27"/>
        <v>#DIV/0!</v>
      </c>
      <c r="AD26" s="79">
        <f t="shared" si="27"/>
        <v>0.66666666666666663</v>
      </c>
      <c r="AE26" s="192">
        <f t="shared" si="27"/>
        <v>0.90909090909090906</v>
      </c>
      <c r="AF26" s="192">
        <f t="shared" si="27"/>
        <v>0.25</v>
      </c>
      <c r="AG26" s="192" t="e">
        <f t="shared" si="27"/>
        <v>#DIV/0!</v>
      </c>
      <c r="AH26" s="192" t="e">
        <f t="shared" si="27"/>
        <v>#DIV/0!</v>
      </c>
      <c r="AI26" s="175"/>
      <c r="AJ26" s="95">
        <f t="shared" si="21"/>
        <v>0.47142857142857142</v>
      </c>
      <c r="AL26" s="181">
        <v>0.15</v>
      </c>
    </row>
    <row r="27" spans="2:43" x14ac:dyDescent="0.25">
      <c r="B27" s="54" t="s">
        <v>4</v>
      </c>
      <c r="C27" s="9">
        <f t="shared" ref="C27:R27" si="28">(C18/C9)</f>
        <v>0.31818181818181818</v>
      </c>
      <c r="D27" s="9">
        <f t="shared" si="28"/>
        <v>0.30769230769230771</v>
      </c>
      <c r="E27" s="9">
        <f t="shared" si="28"/>
        <v>0.20833333333333334</v>
      </c>
      <c r="F27" s="9">
        <f t="shared" si="28"/>
        <v>0.29629629629629628</v>
      </c>
      <c r="G27" s="9">
        <f t="shared" si="28"/>
        <v>0.40540540540540543</v>
      </c>
      <c r="H27" s="9">
        <f t="shared" si="28"/>
        <v>0</v>
      </c>
      <c r="I27" s="9">
        <f t="shared" si="28"/>
        <v>0.43636363636363634</v>
      </c>
      <c r="J27" s="9">
        <f t="shared" si="28"/>
        <v>0.55555555555555558</v>
      </c>
      <c r="K27" s="9">
        <f t="shared" si="28"/>
        <v>0.68421052631578949</v>
      </c>
      <c r="L27" s="9">
        <f t="shared" si="28"/>
        <v>0.5714285714285714</v>
      </c>
      <c r="M27" s="9">
        <f t="shared" si="28"/>
        <v>0.65384615384615385</v>
      </c>
      <c r="N27" s="9">
        <f t="shared" si="28"/>
        <v>0.38461538461538464</v>
      </c>
      <c r="O27" s="9">
        <f t="shared" si="28"/>
        <v>0.43333333333333335</v>
      </c>
      <c r="P27" s="9">
        <f t="shared" si="28"/>
        <v>0.41860465116279072</v>
      </c>
      <c r="Q27" s="9">
        <f t="shared" si="28"/>
        <v>0.11320754716981132</v>
      </c>
      <c r="R27" s="51">
        <f t="shared" si="28"/>
        <v>0.22857142857142856</v>
      </c>
      <c r="S27" s="64"/>
      <c r="T27" s="98">
        <f t="shared" ref="T27:AH27" si="29">(T18/T9)</f>
        <v>0</v>
      </c>
      <c r="U27" s="98">
        <f t="shared" si="29"/>
        <v>0.66666666666666663</v>
      </c>
      <c r="V27" s="98">
        <f t="shared" si="29"/>
        <v>0.4</v>
      </c>
      <c r="W27" s="98">
        <f t="shared" si="29"/>
        <v>0.42857142857142855</v>
      </c>
      <c r="X27" s="98">
        <f t="shared" si="29"/>
        <v>0.5</v>
      </c>
      <c r="Y27" s="137" t="e">
        <f t="shared" si="29"/>
        <v>#DIV/0!</v>
      </c>
      <c r="Z27" s="137" t="e">
        <f t="shared" si="29"/>
        <v>#DIV/0!</v>
      </c>
      <c r="AA27" s="137" t="e">
        <f t="shared" si="29"/>
        <v>#DIV/0!</v>
      </c>
      <c r="AB27" s="137" t="e">
        <f t="shared" si="29"/>
        <v>#DIV/0!</v>
      </c>
      <c r="AC27" s="137" t="e">
        <f t="shared" si="29"/>
        <v>#DIV/0!</v>
      </c>
      <c r="AD27" s="98">
        <f t="shared" si="29"/>
        <v>0.3</v>
      </c>
      <c r="AE27" s="98">
        <f t="shared" si="29"/>
        <v>9.0909090909090912E-2</v>
      </c>
      <c r="AF27" s="98">
        <f t="shared" si="29"/>
        <v>0.47368421052631576</v>
      </c>
      <c r="AG27" s="98" t="e">
        <f t="shared" si="29"/>
        <v>#DIV/0!</v>
      </c>
      <c r="AH27" s="98" t="e">
        <f t="shared" si="29"/>
        <v>#DIV/0!</v>
      </c>
      <c r="AI27" s="176"/>
      <c r="AJ27" s="194">
        <f t="shared" si="21"/>
        <v>0.36363636363636365</v>
      </c>
    </row>
    <row r="28" spans="2:43" x14ac:dyDescent="0.25">
      <c r="B28" s="54" t="s">
        <v>5</v>
      </c>
      <c r="C28" s="9">
        <f t="shared" ref="C28:R28" si="30">(C19/C10)</f>
        <v>0.11702127659574468</v>
      </c>
      <c r="D28" s="9">
        <f t="shared" si="30"/>
        <v>0.1</v>
      </c>
      <c r="E28" s="9">
        <f t="shared" si="30"/>
        <v>8.4745762711864403E-2</v>
      </c>
      <c r="F28" s="9">
        <f t="shared" si="30"/>
        <v>1.6666666666666666E-2</v>
      </c>
      <c r="G28" s="9">
        <f t="shared" si="30"/>
        <v>0.26470588235294118</v>
      </c>
      <c r="H28" s="9">
        <f t="shared" si="30"/>
        <v>5.7971014492753624E-2</v>
      </c>
      <c r="I28" s="9">
        <f t="shared" si="30"/>
        <v>0.05</v>
      </c>
      <c r="J28" s="9">
        <f t="shared" si="30"/>
        <v>3.4482758620689655E-2</v>
      </c>
      <c r="K28" s="9">
        <f t="shared" si="30"/>
        <v>0.10714285714285714</v>
      </c>
      <c r="L28" s="9">
        <f t="shared" si="30"/>
        <v>0.2857142857142857</v>
      </c>
      <c r="M28" s="9">
        <f t="shared" si="30"/>
        <v>0.16666666666666666</v>
      </c>
      <c r="N28" s="9">
        <f t="shared" si="30"/>
        <v>0.13636363636363635</v>
      </c>
      <c r="O28" s="9">
        <f t="shared" si="30"/>
        <v>0.12149532710280374</v>
      </c>
      <c r="P28" s="9">
        <f t="shared" si="30"/>
        <v>0.12716763005780346</v>
      </c>
      <c r="Q28" s="9">
        <f t="shared" si="30"/>
        <v>5.2023121387283239E-2</v>
      </c>
      <c r="R28" s="51">
        <f t="shared" si="30"/>
        <v>2.0270270270270271E-2</v>
      </c>
      <c r="S28" s="64"/>
      <c r="T28" s="98">
        <f t="shared" ref="T28:AH28" si="31">(T19/T10)</f>
        <v>0.14285714285714285</v>
      </c>
      <c r="U28" s="98">
        <f t="shared" si="31"/>
        <v>0.14285714285714285</v>
      </c>
      <c r="V28" s="137" t="e">
        <f t="shared" si="31"/>
        <v>#DIV/0!</v>
      </c>
      <c r="W28" s="137" t="e">
        <f t="shared" si="31"/>
        <v>#DIV/0!</v>
      </c>
      <c r="X28" s="98">
        <f t="shared" si="31"/>
        <v>1</v>
      </c>
      <c r="Y28" s="98">
        <f t="shared" si="31"/>
        <v>0.36363636363636365</v>
      </c>
      <c r="Z28" s="98">
        <f t="shared" si="31"/>
        <v>0.10526315789473684</v>
      </c>
      <c r="AA28" s="98">
        <f t="shared" si="31"/>
        <v>0.1111111111111111</v>
      </c>
      <c r="AB28" s="98">
        <f t="shared" si="31"/>
        <v>0</v>
      </c>
      <c r="AC28" s="98">
        <f t="shared" si="31"/>
        <v>0</v>
      </c>
      <c r="AD28" s="137" t="e">
        <f t="shared" si="31"/>
        <v>#DIV/0!</v>
      </c>
      <c r="AE28" s="137" t="e">
        <f t="shared" si="31"/>
        <v>#DIV/0!</v>
      </c>
      <c r="AF28" s="137" t="e">
        <f t="shared" si="31"/>
        <v>#DIV/0!</v>
      </c>
      <c r="AG28" s="137" t="e">
        <f t="shared" si="31"/>
        <v>#DIV/0!</v>
      </c>
      <c r="AH28" s="137" t="e">
        <f t="shared" si="31"/>
        <v>#DIV/0!</v>
      </c>
      <c r="AI28" s="175"/>
      <c r="AJ28" s="95">
        <f t="shared" si="21"/>
        <v>0.12621359223300971</v>
      </c>
    </row>
    <row r="29" spans="2:43" ht="15" thickBot="1" x14ac:dyDescent="0.3">
      <c r="B29" s="50" t="s">
        <v>8</v>
      </c>
      <c r="C29" s="9">
        <f t="shared" ref="C29:R29" si="32">(C20/C11)</f>
        <v>0.15337423312883436</v>
      </c>
      <c r="D29" s="9">
        <f t="shared" si="32"/>
        <v>0.15892420537897312</v>
      </c>
      <c r="E29" s="9">
        <f t="shared" si="32"/>
        <v>0.13333333333333333</v>
      </c>
      <c r="F29" s="9">
        <f t="shared" si="32"/>
        <v>0.21463414634146341</v>
      </c>
      <c r="G29" s="9">
        <f t="shared" si="32"/>
        <v>0.23478260869565218</v>
      </c>
      <c r="H29" s="9">
        <f t="shared" si="32"/>
        <v>0.14150943396226415</v>
      </c>
      <c r="I29" s="9">
        <f t="shared" si="32"/>
        <v>0.34499999999999997</v>
      </c>
      <c r="J29" s="9">
        <f t="shared" si="32"/>
        <v>0.1103202846975089</v>
      </c>
      <c r="K29" s="9">
        <f t="shared" si="32"/>
        <v>0.23414634146341465</v>
      </c>
      <c r="L29" s="9">
        <f t="shared" si="32"/>
        <v>0.32222222222222224</v>
      </c>
      <c r="M29" s="9">
        <f t="shared" si="32"/>
        <v>0.26101694915254237</v>
      </c>
      <c r="N29" s="9">
        <f t="shared" si="32"/>
        <v>0.19576719576719576</v>
      </c>
      <c r="O29" s="9">
        <f t="shared" si="32"/>
        <v>0.1875</v>
      </c>
      <c r="P29" s="9">
        <f t="shared" si="32"/>
        <v>0.19047619047619047</v>
      </c>
      <c r="Q29" s="9">
        <f t="shared" si="32"/>
        <v>6.2745098039215685E-2</v>
      </c>
      <c r="R29" s="51">
        <f t="shared" si="32"/>
        <v>9.034907597535935E-2</v>
      </c>
      <c r="S29" s="64"/>
      <c r="T29" s="99">
        <f t="shared" ref="T29:AH29" si="33">(T20/T11)</f>
        <v>0.23076923076923078</v>
      </c>
      <c r="U29" s="99">
        <f t="shared" si="33"/>
        <v>0.20689655172413793</v>
      </c>
      <c r="V29" s="99">
        <f t="shared" si="33"/>
        <v>0.26415094339622641</v>
      </c>
      <c r="W29" s="99">
        <f t="shared" si="33"/>
        <v>0.17142857142857143</v>
      </c>
      <c r="X29" s="99">
        <f t="shared" si="33"/>
        <v>0.36</v>
      </c>
      <c r="Y29" s="99">
        <f t="shared" si="33"/>
        <v>0.2</v>
      </c>
      <c r="Z29" s="99">
        <f t="shared" si="33"/>
        <v>0.15789473684210525</v>
      </c>
      <c r="AA29" s="99">
        <f t="shared" si="33"/>
        <v>0.19607843137254902</v>
      </c>
      <c r="AB29" s="99">
        <f t="shared" si="33"/>
        <v>8.1967213114754092E-2</v>
      </c>
      <c r="AC29" s="99">
        <f t="shared" si="33"/>
        <v>0.21428571428571427</v>
      </c>
      <c r="AD29" s="99">
        <f t="shared" si="33"/>
        <v>0.33333333333333331</v>
      </c>
      <c r="AE29" s="99">
        <f t="shared" si="33"/>
        <v>0.41025641025641024</v>
      </c>
      <c r="AF29" s="99">
        <f t="shared" si="33"/>
        <v>0.41818181818181815</v>
      </c>
      <c r="AG29" s="99" t="e">
        <f t="shared" si="33"/>
        <v>#DIV/0!</v>
      </c>
      <c r="AH29" s="99" t="e">
        <f t="shared" si="33"/>
        <v>#DIV/0!</v>
      </c>
      <c r="AI29" s="177"/>
      <c r="AJ29" s="96">
        <f t="shared" si="21"/>
        <v>0.1989051094890511</v>
      </c>
    </row>
    <row r="30" spans="2:43" ht="15.75" thickBot="1" x14ac:dyDescent="0.3">
      <c r="B30" s="257" t="s">
        <v>118</v>
      </c>
      <c r="C30" s="300">
        <f>1-C29</f>
        <v>0.84662576687116564</v>
      </c>
      <c r="D30" s="300">
        <f t="shared" ref="D30:R30" si="34">1-D29</f>
        <v>0.84107579462102688</v>
      </c>
      <c r="E30" s="300">
        <f t="shared" si="34"/>
        <v>0.8666666666666667</v>
      </c>
      <c r="F30" s="300">
        <f t="shared" si="34"/>
        <v>0.78536585365853662</v>
      </c>
      <c r="G30" s="300">
        <f t="shared" si="34"/>
        <v>0.76521739130434785</v>
      </c>
      <c r="H30" s="300">
        <f t="shared" si="34"/>
        <v>0.85849056603773588</v>
      </c>
      <c r="I30" s="300">
        <f t="shared" si="34"/>
        <v>0.65500000000000003</v>
      </c>
      <c r="J30" s="300">
        <f t="shared" si="34"/>
        <v>0.88967971530249113</v>
      </c>
      <c r="K30" s="300">
        <f t="shared" si="34"/>
        <v>0.76585365853658538</v>
      </c>
      <c r="L30" s="300">
        <f t="shared" si="34"/>
        <v>0.67777777777777781</v>
      </c>
      <c r="M30" s="300">
        <f t="shared" si="34"/>
        <v>0.73898305084745763</v>
      </c>
      <c r="N30" s="300">
        <f t="shared" si="34"/>
        <v>0.80423280423280419</v>
      </c>
      <c r="O30" s="300">
        <f t="shared" si="34"/>
        <v>0.8125</v>
      </c>
      <c r="P30" s="300">
        <f t="shared" si="34"/>
        <v>0.80952380952380953</v>
      </c>
      <c r="Q30" s="301">
        <f t="shared" si="34"/>
        <v>0.93725490196078431</v>
      </c>
      <c r="R30" s="302">
        <f t="shared" si="34"/>
        <v>0.90965092402464065</v>
      </c>
      <c r="AJ30" s="63"/>
    </row>
    <row r="31" spans="2:43" s="118" customFormat="1" ht="12.75" hidden="1" x14ac:dyDescent="0.25">
      <c r="B31" s="256" t="s">
        <v>66</v>
      </c>
      <c r="C31" s="256"/>
      <c r="D31" s="322"/>
      <c r="E31" s="323"/>
      <c r="F31" s="323"/>
      <c r="G31" s="323"/>
      <c r="H31" s="323"/>
      <c r="I31" s="323"/>
      <c r="J31" s="323"/>
      <c r="K31" s="323"/>
      <c r="L31" s="323"/>
      <c r="M31" s="323"/>
      <c r="N31" s="323"/>
      <c r="O31" s="323"/>
      <c r="P31" s="323"/>
      <c r="Q31" s="323"/>
      <c r="R31" s="323"/>
      <c r="S31" s="324"/>
      <c r="T31" s="324"/>
      <c r="U31" s="325"/>
      <c r="V31" s="128" t="s">
        <v>73</v>
      </c>
      <c r="W31" s="128" t="s">
        <v>75</v>
      </c>
      <c r="AJ31" s="119"/>
    </row>
    <row r="32" spans="2:43" s="122" customFormat="1" ht="41.45" hidden="1" customHeight="1" x14ac:dyDescent="0.25">
      <c r="B32" s="120">
        <v>43712</v>
      </c>
      <c r="C32" s="121"/>
      <c r="D32" s="326"/>
      <c r="E32" s="327"/>
      <c r="F32" s="327"/>
      <c r="G32" s="327"/>
      <c r="H32" s="327"/>
      <c r="I32" s="327"/>
      <c r="J32" s="327"/>
      <c r="K32" s="327"/>
      <c r="L32" s="327"/>
      <c r="M32" s="327"/>
      <c r="N32" s="327"/>
      <c r="O32" s="327"/>
      <c r="P32" s="327"/>
      <c r="Q32" s="327"/>
      <c r="R32" s="327"/>
      <c r="S32" s="327"/>
      <c r="T32" s="327"/>
      <c r="U32" s="328"/>
      <c r="V32" s="129" t="s">
        <v>74</v>
      </c>
      <c r="W32" s="130">
        <v>43734</v>
      </c>
      <c r="AJ32" s="123"/>
    </row>
    <row r="33" spans="2:38" s="122" customFormat="1" ht="41.45" hidden="1" customHeight="1" x14ac:dyDescent="0.25">
      <c r="B33" s="120">
        <v>43816</v>
      </c>
      <c r="C33" s="127"/>
      <c r="D33" s="326"/>
      <c r="E33" s="329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30"/>
      <c r="V33" s="129" t="s">
        <v>74</v>
      </c>
      <c r="W33" s="130">
        <v>43819</v>
      </c>
      <c r="AJ33" s="123"/>
    </row>
    <row r="34" spans="2:38" s="122" customFormat="1" ht="93.2" hidden="1" customHeight="1" x14ac:dyDescent="0.25">
      <c r="B34" s="120">
        <v>43866</v>
      </c>
      <c r="C34" s="124"/>
      <c r="D34" s="320"/>
      <c r="E34" s="320"/>
      <c r="F34" s="320"/>
      <c r="G34" s="320"/>
      <c r="H34" s="320"/>
      <c r="I34" s="320"/>
      <c r="J34" s="320"/>
      <c r="K34" s="320"/>
      <c r="L34" s="320"/>
      <c r="M34" s="320"/>
      <c r="N34" s="320"/>
      <c r="O34" s="320"/>
      <c r="P34" s="320"/>
      <c r="Q34" s="320"/>
      <c r="R34" s="320"/>
      <c r="S34" s="320"/>
      <c r="T34" s="320"/>
      <c r="U34" s="320"/>
      <c r="V34" s="131" t="s">
        <v>74</v>
      </c>
      <c r="W34" s="132">
        <v>43868</v>
      </c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  <c r="AJ34" s="125"/>
      <c r="AK34" s="126"/>
    </row>
    <row r="35" spans="2:38" s="122" customFormat="1" ht="80.099999999999994" hidden="1" customHeight="1" x14ac:dyDescent="0.25">
      <c r="B35" s="120">
        <v>43894</v>
      </c>
      <c r="C35" s="124"/>
      <c r="D35" s="320"/>
      <c r="E35" s="321"/>
      <c r="F35" s="321"/>
      <c r="G35" s="321"/>
      <c r="H35" s="321"/>
      <c r="I35" s="321"/>
      <c r="J35" s="321"/>
      <c r="K35" s="321"/>
      <c r="L35" s="321"/>
      <c r="M35" s="321"/>
      <c r="N35" s="321"/>
      <c r="O35" s="321"/>
      <c r="P35" s="321"/>
      <c r="Q35" s="321"/>
      <c r="R35" s="321"/>
      <c r="S35" s="321"/>
      <c r="T35" s="321"/>
      <c r="U35" s="321"/>
      <c r="V35" s="129" t="s">
        <v>74</v>
      </c>
      <c r="W35" s="130">
        <v>43888</v>
      </c>
      <c r="AJ35" s="123"/>
      <c r="AK35" s="126"/>
    </row>
    <row r="36" spans="2:38" hidden="1" x14ac:dyDescent="0.25">
      <c r="B36" s="10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262"/>
      <c r="N36" s="100"/>
      <c r="O36" s="100"/>
      <c r="P36" s="262"/>
      <c r="Q36" s="100"/>
      <c r="R36" s="100"/>
      <c r="S36" s="100"/>
      <c r="T36" s="100"/>
      <c r="U36" s="100"/>
      <c r="V36" s="100"/>
      <c r="AJ36" s="63"/>
      <c r="AK36" s="64"/>
    </row>
    <row r="37" spans="2:38" x14ac:dyDescent="0.25">
      <c r="B37" s="100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262"/>
      <c r="N37" s="100"/>
      <c r="O37" s="100"/>
      <c r="P37" s="262"/>
      <c r="Q37" s="100"/>
      <c r="R37" s="100"/>
      <c r="S37" s="100"/>
      <c r="T37" s="100"/>
      <c r="U37" s="100"/>
      <c r="V37" s="100"/>
      <c r="AC37" s="13"/>
      <c r="AD37" s="13"/>
      <c r="AE37" s="13"/>
      <c r="AF37" s="13"/>
      <c r="AG37" s="13"/>
      <c r="AH37" s="13"/>
      <c r="AI37" s="13"/>
      <c r="AJ37" s="13"/>
      <c r="AK37" s="13"/>
    </row>
    <row r="38" spans="2:38" ht="52.35" hidden="1" customHeight="1" x14ac:dyDescent="0.25">
      <c r="B38" s="101" t="s">
        <v>36</v>
      </c>
      <c r="C38" s="102"/>
      <c r="D38" s="102"/>
      <c r="E38" s="102"/>
      <c r="F38" s="102"/>
      <c r="G38" s="102"/>
      <c r="H38" s="102"/>
      <c r="I38" s="102"/>
      <c r="J38" s="102"/>
      <c r="K38" s="102"/>
      <c r="L38" s="102"/>
      <c r="M38" s="263"/>
      <c r="N38" s="102"/>
      <c r="O38" s="102"/>
      <c r="P38" s="263"/>
      <c r="Q38" s="102"/>
      <c r="R38" s="102"/>
      <c r="S38" s="102"/>
      <c r="T38" s="46" t="s">
        <v>28</v>
      </c>
      <c r="U38" s="47" t="s">
        <v>29</v>
      </c>
      <c r="V38" s="47" t="s">
        <v>30</v>
      </c>
      <c r="W38" s="47" t="s">
        <v>24</v>
      </c>
      <c r="X38" s="48" t="s">
        <v>23</v>
      </c>
      <c r="Y38" s="48" t="s">
        <v>21</v>
      </c>
      <c r="Z38" s="47" t="s">
        <v>25</v>
      </c>
      <c r="AA38" s="47" t="s">
        <v>26</v>
      </c>
      <c r="AB38" s="47" t="s">
        <v>27</v>
      </c>
      <c r="AC38" s="17" t="s">
        <v>31</v>
      </c>
      <c r="AD38" s="17" t="s">
        <v>35</v>
      </c>
      <c r="AE38" s="178"/>
      <c r="AF38" s="178"/>
      <c r="AG38" s="178"/>
      <c r="AH38" s="178"/>
      <c r="AI38" s="59"/>
      <c r="AJ38" s="59"/>
      <c r="AK38" s="60"/>
      <c r="AL38" s="61"/>
    </row>
    <row r="39" spans="2:38" ht="13.7" hidden="1" customHeight="1" x14ac:dyDescent="0.25">
      <c r="B39" s="103" t="s">
        <v>19</v>
      </c>
      <c r="C39" s="104"/>
      <c r="D39" s="104"/>
      <c r="E39" s="104"/>
      <c r="F39" s="104"/>
      <c r="G39" s="104"/>
      <c r="H39" s="104"/>
      <c r="I39" s="104"/>
      <c r="J39" s="104"/>
      <c r="K39" s="104"/>
      <c r="L39" s="104"/>
      <c r="M39" s="264"/>
      <c r="N39" s="104"/>
      <c r="O39" s="104"/>
      <c r="P39" s="264"/>
      <c r="Q39" s="104"/>
      <c r="R39" s="104"/>
      <c r="S39" s="104"/>
      <c r="T39" s="111" t="s">
        <v>18</v>
      </c>
      <c r="U39" s="111" t="s">
        <v>11</v>
      </c>
      <c r="V39" s="111" t="s">
        <v>12</v>
      </c>
      <c r="W39" s="15" t="s">
        <v>13</v>
      </c>
      <c r="X39" s="16" t="s">
        <v>14</v>
      </c>
      <c r="Y39" s="16" t="s">
        <v>22</v>
      </c>
      <c r="Z39" s="16" t="s">
        <v>20</v>
      </c>
      <c r="AA39" s="16" t="s">
        <v>16</v>
      </c>
      <c r="AB39" s="16" t="s">
        <v>32</v>
      </c>
      <c r="AC39" s="16" t="s">
        <v>33</v>
      </c>
      <c r="AD39" s="16" t="s">
        <v>34</v>
      </c>
      <c r="AE39" s="179"/>
      <c r="AF39" s="179"/>
      <c r="AG39" s="179"/>
      <c r="AH39" s="179"/>
      <c r="AI39" s="59"/>
      <c r="AJ39" s="59"/>
      <c r="AK39" s="60"/>
      <c r="AL39" s="13"/>
    </row>
    <row r="40" spans="2:38" hidden="1" x14ac:dyDescent="0.25">
      <c r="B40" s="105" t="s">
        <v>0</v>
      </c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265"/>
      <c r="N40" s="106"/>
      <c r="O40" s="106"/>
      <c r="P40" s="265"/>
      <c r="Q40" s="106"/>
      <c r="R40" s="106"/>
      <c r="S40" s="106"/>
      <c r="T40" s="112">
        <f>1-(1/12)</f>
        <v>0.91666666666666663</v>
      </c>
      <c r="U40" s="113">
        <v>0</v>
      </c>
      <c r="V40" s="113">
        <v>0</v>
      </c>
      <c r="W40" s="14">
        <v>0</v>
      </c>
      <c r="X40" s="14">
        <v>0</v>
      </c>
      <c r="Y40" s="14">
        <v>0</v>
      </c>
      <c r="Z40" s="9">
        <f>1-(6/13)</f>
        <v>0.53846153846153844</v>
      </c>
      <c r="AA40" s="9">
        <f>1-(5/9)</f>
        <v>0.44444444444444442</v>
      </c>
      <c r="AB40" s="9">
        <f>1-(7/10)</f>
        <v>0.30000000000000004</v>
      </c>
      <c r="AC40" s="9">
        <f>1-(4/6)</f>
        <v>0.33333333333333337</v>
      </c>
      <c r="AD40" s="9">
        <f>1-(1/6)</f>
        <v>0.83333333333333337</v>
      </c>
      <c r="AE40" s="64"/>
      <c r="AF40" s="64"/>
      <c r="AG40" s="64"/>
      <c r="AH40" s="64"/>
      <c r="AI40" s="58"/>
      <c r="AJ40" s="13"/>
      <c r="AK40" s="58"/>
      <c r="AL40" s="13"/>
    </row>
    <row r="41" spans="2:38" hidden="1" x14ac:dyDescent="0.25">
      <c r="B41" s="105" t="s">
        <v>1</v>
      </c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265"/>
      <c r="N41" s="106"/>
      <c r="O41" s="106"/>
      <c r="P41" s="265"/>
      <c r="Q41" s="106"/>
      <c r="R41" s="106"/>
      <c r="S41" s="106"/>
      <c r="T41" s="113"/>
      <c r="U41" s="114">
        <f>1-(3/15)</f>
        <v>0.8</v>
      </c>
      <c r="V41" s="113">
        <v>0</v>
      </c>
      <c r="W41" s="14">
        <v>0</v>
      </c>
      <c r="X41" s="58">
        <f>1-(1/4)</f>
        <v>0.75</v>
      </c>
      <c r="Y41" s="9">
        <f>1</f>
        <v>1</v>
      </c>
      <c r="Z41" s="9">
        <f>1-(8/25)</f>
        <v>0.67999999999999994</v>
      </c>
      <c r="AA41" s="9">
        <f>1-(6/24)</f>
        <v>0.75</v>
      </c>
      <c r="AB41" s="9">
        <f>1-(6/31)</f>
        <v>0.80645161290322576</v>
      </c>
      <c r="AC41" s="31">
        <f>1-(2/3)</f>
        <v>0.33333333333333337</v>
      </c>
      <c r="AD41" s="14">
        <v>0</v>
      </c>
      <c r="AE41" s="180"/>
      <c r="AF41" s="180"/>
      <c r="AG41" s="180"/>
      <c r="AH41" s="180"/>
      <c r="AI41" s="58"/>
      <c r="AJ41" s="13"/>
      <c r="AK41" s="58"/>
      <c r="AL41" s="13"/>
    </row>
    <row r="42" spans="2:38" hidden="1" x14ac:dyDescent="0.25">
      <c r="B42" s="105" t="s">
        <v>2</v>
      </c>
      <c r="C42" s="106"/>
      <c r="D42" s="106"/>
      <c r="E42" s="106"/>
      <c r="F42" s="106"/>
      <c r="G42" s="106"/>
      <c r="H42" s="106"/>
      <c r="I42" s="106"/>
      <c r="J42" s="106"/>
      <c r="K42" s="106"/>
      <c r="L42" s="106"/>
      <c r="M42" s="265"/>
      <c r="N42" s="106"/>
      <c r="O42" s="106"/>
      <c r="P42" s="265"/>
      <c r="Q42" s="106"/>
      <c r="R42" s="106"/>
      <c r="S42" s="106"/>
      <c r="T42" s="112">
        <f>1-(4/10)</f>
        <v>0.6</v>
      </c>
      <c r="U42" s="114">
        <f>1-(3/18)</f>
        <v>0.83333333333333337</v>
      </c>
      <c r="V42" s="112">
        <f>1-12/21</f>
        <v>0.4285714285714286</v>
      </c>
      <c r="W42" s="9">
        <f>1-(4/20)</f>
        <v>0.8</v>
      </c>
      <c r="X42" s="31">
        <f>1-(4/10)</f>
        <v>0.6</v>
      </c>
      <c r="Y42" s="14">
        <v>0</v>
      </c>
      <c r="Z42" s="14">
        <v>0</v>
      </c>
      <c r="AA42" s="14">
        <v>0</v>
      </c>
      <c r="AB42" s="14">
        <v>0</v>
      </c>
      <c r="AC42" s="31">
        <f>1-(3/7)</f>
        <v>0.5714285714285714</v>
      </c>
      <c r="AD42" s="31">
        <f>1-(4/8)</f>
        <v>0.5</v>
      </c>
      <c r="AE42" s="58"/>
      <c r="AF42" s="58"/>
      <c r="AG42" s="58"/>
      <c r="AH42" s="58"/>
      <c r="AI42" s="58"/>
      <c r="AJ42" s="13"/>
      <c r="AK42" s="58"/>
      <c r="AL42" s="13"/>
    </row>
    <row r="43" spans="2:38" hidden="1" x14ac:dyDescent="0.25">
      <c r="B43" s="107" t="s">
        <v>3</v>
      </c>
      <c r="C43" s="108"/>
      <c r="D43" s="108"/>
      <c r="E43" s="108"/>
      <c r="F43" s="108"/>
      <c r="G43" s="108"/>
      <c r="H43" s="108"/>
      <c r="I43" s="108"/>
      <c r="J43" s="108"/>
      <c r="K43" s="108"/>
      <c r="L43" s="108"/>
      <c r="M43" s="266"/>
      <c r="N43" s="108"/>
      <c r="O43" s="108"/>
      <c r="P43" s="266"/>
      <c r="Q43" s="108"/>
      <c r="R43" s="108"/>
      <c r="S43" s="108"/>
      <c r="T43" s="114">
        <f>1-(3/7)</f>
        <v>0.5714285714285714</v>
      </c>
      <c r="U43" s="114">
        <f>1-(5/8)</f>
        <v>0.375</v>
      </c>
      <c r="V43" s="114">
        <f>1-(5/12)</f>
        <v>0.58333333333333326</v>
      </c>
      <c r="W43" s="31">
        <f>1-(3/8)</f>
        <v>0.625</v>
      </c>
      <c r="X43" s="31">
        <f>1-(4/5)</f>
        <v>0.19999999999999996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31">
        <f>1-(3/3)</f>
        <v>0</v>
      </c>
      <c r="AE43" s="58"/>
      <c r="AF43" s="58"/>
      <c r="AG43" s="58"/>
      <c r="AH43" s="58"/>
      <c r="AI43" s="58"/>
      <c r="AJ43" s="13"/>
      <c r="AK43" s="58"/>
      <c r="AL43" s="13"/>
    </row>
    <row r="44" spans="2:38" hidden="1" x14ac:dyDescent="0.25">
      <c r="B44" s="109" t="s">
        <v>4</v>
      </c>
      <c r="C44" s="110"/>
      <c r="D44" s="110"/>
      <c r="E44" s="110"/>
      <c r="F44" s="110"/>
      <c r="G44" s="110"/>
      <c r="H44" s="110"/>
      <c r="I44" s="110"/>
      <c r="J44" s="110"/>
      <c r="K44" s="110"/>
      <c r="L44" s="110"/>
      <c r="M44" s="267"/>
      <c r="N44" s="110"/>
      <c r="O44" s="110"/>
      <c r="P44" s="267"/>
      <c r="Q44" s="110"/>
      <c r="R44" s="110"/>
      <c r="S44" s="110"/>
      <c r="T44" s="115">
        <v>1</v>
      </c>
      <c r="U44" s="116">
        <f>1-(2/3)</f>
        <v>0.33333333333333337</v>
      </c>
      <c r="V44" s="116">
        <f>1-(11/20)</f>
        <v>0.44999999999999996</v>
      </c>
      <c r="W44" s="31">
        <f>1-(3/8)</f>
        <v>0.625</v>
      </c>
      <c r="X44" s="9">
        <f>1-(2/4)</f>
        <v>0.5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31">
        <f>1-(6/10)</f>
        <v>0.4</v>
      </c>
      <c r="AE44" s="58"/>
      <c r="AF44" s="58"/>
      <c r="AG44" s="58"/>
      <c r="AH44" s="58"/>
      <c r="AI44" s="58"/>
      <c r="AJ44" s="13"/>
      <c r="AK44" s="58"/>
      <c r="AL44" s="13"/>
    </row>
    <row r="45" spans="2:38" hidden="1" x14ac:dyDescent="0.25">
      <c r="B45" s="105" t="s">
        <v>5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265"/>
      <c r="N45" s="106"/>
      <c r="O45" s="106"/>
      <c r="P45" s="265"/>
      <c r="Q45" s="106"/>
      <c r="R45" s="106"/>
      <c r="S45" s="106"/>
      <c r="T45" s="112">
        <f>1-(1/7)</f>
        <v>0.85714285714285721</v>
      </c>
      <c r="U45" s="114">
        <f>1-(4/14)</f>
        <v>0.7142857142857143</v>
      </c>
      <c r="V45" s="113">
        <v>0</v>
      </c>
      <c r="W45" s="14">
        <v>0</v>
      </c>
      <c r="X45" s="31">
        <f>1-(1/1)</f>
        <v>0</v>
      </c>
      <c r="Y45" s="31">
        <f>1-(4/11)</f>
        <v>0.63636363636363635</v>
      </c>
      <c r="Z45" s="9">
        <f>1-(4/19)</f>
        <v>0.78947368421052633</v>
      </c>
      <c r="AA45" s="9">
        <f>1-(8/18)</f>
        <v>0.55555555555555558</v>
      </c>
      <c r="AB45" s="9">
        <f>1-(1/20)</f>
        <v>0.95</v>
      </c>
      <c r="AC45" s="31">
        <f>1-(2/12)</f>
        <v>0.83333333333333337</v>
      </c>
      <c r="AD45" s="14">
        <v>0</v>
      </c>
      <c r="AE45" s="180"/>
      <c r="AF45" s="180"/>
      <c r="AG45" s="180"/>
      <c r="AH45" s="180"/>
      <c r="AI45" s="58"/>
      <c r="AJ45" s="13"/>
      <c r="AK45" s="58"/>
      <c r="AL45" s="13"/>
    </row>
    <row r="46" spans="2:38" x14ac:dyDescent="0.25">
      <c r="B46" s="100" t="s">
        <v>135</v>
      </c>
      <c r="C46" s="100"/>
      <c r="D46" s="100"/>
      <c r="E46" s="100"/>
      <c r="F46" s="100"/>
      <c r="G46" s="100"/>
      <c r="H46" s="100"/>
      <c r="I46" s="100"/>
      <c r="J46" s="100"/>
      <c r="K46" s="100"/>
      <c r="L46" s="100"/>
      <c r="M46" s="262"/>
      <c r="N46" s="100"/>
      <c r="O46" s="100"/>
      <c r="P46" s="262"/>
      <c r="Q46" s="100"/>
      <c r="R46" s="100"/>
      <c r="S46" s="100"/>
      <c r="T46" s="100"/>
      <c r="U46" s="100"/>
      <c r="V46" s="100"/>
      <c r="AI46" s="13"/>
      <c r="AJ46" s="13"/>
      <c r="AK46" s="13"/>
      <c r="AL46" s="13"/>
    </row>
    <row r="47" spans="2:38" x14ac:dyDescent="0.25">
      <c r="B47" s="289">
        <v>44068</v>
      </c>
      <c r="C47" s="291" t="s">
        <v>127</v>
      </c>
      <c r="D47" s="100"/>
      <c r="E47" s="100"/>
      <c r="F47" s="100"/>
      <c r="G47" s="100"/>
      <c r="H47" s="100"/>
      <c r="I47" s="100"/>
      <c r="J47" s="100"/>
      <c r="K47" s="100"/>
      <c r="L47" s="100"/>
      <c r="M47" s="262"/>
      <c r="N47" s="100"/>
      <c r="O47" s="100"/>
      <c r="P47" s="262"/>
      <c r="Q47" s="100"/>
      <c r="R47" s="100"/>
      <c r="S47" s="100"/>
      <c r="T47" s="100"/>
      <c r="U47" s="100"/>
      <c r="V47" s="100"/>
    </row>
    <row r="48" spans="2:38" x14ac:dyDescent="0.25">
      <c r="B48" s="289">
        <v>44069</v>
      </c>
      <c r="C48" s="291" t="s">
        <v>126</v>
      </c>
      <c r="D48" s="100"/>
      <c r="E48" s="100"/>
      <c r="F48" s="100"/>
      <c r="G48" s="100"/>
      <c r="H48" s="100"/>
      <c r="I48" s="100"/>
      <c r="J48" s="100"/>
      <c r="K48" s="100"/>
      <c r="L48" s="100"/>
      <c r="M48" s="262"/>
      <c r="N48" s="100"/>
      <c r="O48" s="100"/>
      <c r="P48" s="262"/>
      <c r="Q48" s="100"/>
      <c r="R48" s="100"/>
      <c r="S48" s="100"/>
      <c r="T48" s="100"/>
      <c r="U48" s="100"/>
      <c r="V48" s="100"/>
    </row>
    <row r="49" spans="2:3" x14ac:dyDescent="0.25">
      <c r="B49" s="290">
        <v>44083</v>
      </c>
      <c r="C49" s="292" t="s">
        <v>125</v>
      </c>
    </row>
    <row r="50" spans="2:3" x14ac:dyDescent="0.25">
      <c r="B50" s="290">
        <v>44091</v>
      </c>
      <c r="C50" s="292" t="s">
        <v>128</v>
      </c>
    </row>
    <row r="51" spans="2:3" x14ac:dyDescent="0.25">
      <c r="B51" s="290">
        <v>44098</v>
      </c>
      <c r="C51" s="292" t="s">
        <v>129</v>
      </c>
    </row>
    <row r="52" spans="2:3" x14ac:dyDescent="0.25">
      <c r="B52" s="290">
        <v>44116</v>
      </c>
      <c r="C52" s="292" t="s">
        <v>130</v>
      </c>
    </row>
    <row r="53" spans="2:3" x14ac:dyDescent="0.25">
      <c r="B53" s="290"/>
      <c r="C53" s="292" t="s">
        <v>131</v>
      </c>
    </row>
    <row r="54" spans="2:3" x14ac:dyDescent="0.25">
      <c r="B54" s="290">
        <v>44117</v>
      </c>
      <c r="C54" s="292" t="s">
        <v>132</v>
      </c>
    </row>
    <row r="55" spans="2:3" x14ac:dyDescent="0.25">
      <c r="B55" s="290"/>
      <c r="C55" s="292" t="s">
        <v>134</v>
      </c>
    </row>
    <row r="56" spans="2:3" x14ac:dyDescent="0.25">
      <c r="B56" s="290"/>
      <c r="C56" s="292" t="s">
        <v>133</v>
      </c>
    </row>
    <row r="57" spans="2:3" x14ac:dyDescent="0.25">
      <c r="B57" s="290"/>
    </row>
    <row r="58" spans="2:3" x14ac:dyDescent="0.25">
      <c r="B58" s="290"/>
      <c r="C58" s="292"/>
    </row>
    <row r="59" spans="2:3" x14ac:dyDescent="0.25">
      <c r="B59" s="290"/>
      <c r="C59" s="292"/>
    </row>
    <row r="60" spans="2:3" x14ac:dyDescent="0.25">
      <c r="B60" s="290"/>
      <c r="C60" s="292"/>
    </row>
    <row r="61" spans="2:3" x14ac:dyDescent="0.25">
      <c r="B61" s="290"/>
      <c r="C61" s="292"/>
    </row>
    <row r="62" spans="2:3" x14ac:dyDescent="0.25">
      <c r="B62" s="290"/>
    </row>
    <row r="63" spans="2:3" x14ac:dyDescent="0.25">
      <c r="B63" s="290"/>
    </row>
    <row r="64" spans="2:3" x14ac:dyDescent="0.25">
      <c r="B64" s="290"/>
    </row>
    <row r="65" spans="2:2" x14ac:dyDescent="0.25">
      <c r="B65" s="290"/>
    </row>
    <row r="66" spans="2:2" x14ac:dyDescent="0.25">
      <c r="B66" s="290"/>
    </row>
    <row r="67" spans="2:2" x14ac:dyDescent="0.25">
      <c r="B67" s="290"/>
    </row>
    <row r="68" spans="2:2" x14ac:dyDescent="0.25">
      <c r="B68" s="290"/>
    </row>
    <row r="69" spans="2:2" x14ac:dyDescent="0.25">
      <c r="B69" s="290"/>
    </row>
    <row r="70" spans="2:2" x14ac:dyDescent="0.25">
      <c r="B70" s="290"/>
    </row>
    <row r="71" spans="2:2" x14ac:dyDescent="0.25">
      <c r="B71" s="290"/>
    </row>
    <row r="72" spans="2:2" x14ac:dyDescent="0.25">
      <c r="B72" s="290"/>
    </row>
    <row r="73" spans="2:2" x14ac:dyDescent="0.25">
      <c r="B73" s="290"/>
    </row>
    <row r="74" spans="2:2" x14ac:dyDescent="0.25">
      <c r="B74" s="290"/>
    </row>
    <row r="75" spans="2:2" x14ac:dyDescent="0.25">
      <c r="B75" s="290"/>
    </row>
    <row r="76" spans="2:2" x14ac:dyDescent="0.25">
      <c r="B76" s="290"/>
    </row>
    <row r="77" spans="2:2" x14ac:dyDescent="0.25">
      <c r="B77" s="290"/>
    </row>
    <row r="78" spans="2:2" x14ac:dyDescent="0.25">
      <c r="B78" s="290"/>
    </row>
    <row r="79" spans="2:2" x14ac:dyDescent="0.25">
      <c r="B79" s="290"/>
    </row>
    <row r="80" spans="2:2" x14ac:dyDescent="0.25">
      <c r="B80" s="290"/>
    </row>
    <row r="81" spans="2:2" x14ac:dyDescent="0.25">
      <c r="B81" s="290"/>
    </row>
    <row r="82" spans="2:2" x14ac:dyDescent="0.25">
      <c r="B82" s="290"/>
    </row>
    <row r="83" spans="2:2" x14ac:dyDescent="0.25">
      <c r="B83" s="290"/>
    </row>
    <row r="84" spans="2:2" x14ac:dyDescent="0.25">
      <c r="B84" s="290"/>
    </row>
    <row r="85" spans="2:2" x14ac:dyDescent="0.25">
      <c r="B85" s="290"/>
    </row>
    <row r="86" spans="2:2" x14ac:dyDescent="0.25">
      <c r="B86" s="290"/>
    </row>
    <row r="87" spans="2:2" x14ac:dyDescent="0.25">
      <c r="B87" s="290"/>
    </row>
    <row r="88" spans="2:2" x14ac:dyDescent="0.25">
      <c r="B88" s="290"/>
    </row>
    <row r="89" spans="2:2" x14ac:dyDescent="0.25">
      <c r="B89" s="290"/>
    </row>
    <row r="90" spans="2:2" x14ac:dyDescent="0.25">
      <c r="B90" s="290"/>
    </row>
    <row r="91" spans="2:2" x14ac:dyDescent="0.25">
      <c r="B91" s="290"/>
    </row>
  </sheetData>
  <mergeCells count="8">
    <mergeCell ref="AR3:AS3"/>
    <mergeCell ref="AT3:AU3"/>
    <mergeCell ref="AV3:AW3"/>
    <mergeCell ref="D34:U34"/>
    <mergeCell ref="D35:U35"/>
    <mergeCell ref="D31:U31"/>
    <mergeCell ref="D32:U32"/>
    <mergeCell ref="D33:U33"/>
  </mergeCells>
  <phoneticPr fontId="5" type="noConversion"/>
  <conditionalFormatting sqref="S23:AH29">
    <cfRule type="cellIs" dxfId="78" priority="12" operator="lessThan">
      <formula>$AL$26</formula>
    </cfRule>
    <cfRule type="cellIs" dxfId="77" priority="13" operator="greaterThan">
      <formula>$AL$26</formula>
    </cfRule>
  </conditionalFormatting>
  <conditionalFormatting sqref="C23:R29">
    <cfRule type="cellIs" dxfId="76" priority="4" operator="greaterThan">
      <formula>0.0799</formula>
    </cfRule>
  </conditionalFormatting>
  <conditionalFormatting sqref="C30:Q30">
    <cfRule type="cellIs" dxfId="75" priority="2" operator="lessThan">
      <formula>0.9199</formula>
    </cfRule>
  </conditionalFormatting>
  <conditionalFormatting sqref="C30:R30">
    <cfRule type="cellIs" dxfId="74" priority="1" operator="greaterThan">
      <formula>0.9122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C06C2-B9F0-4E59-9602-17F72F881453}">
  <dimension ref="A1:M19"/>
  <sheetViews>
    <sheetView showGridLines="0" zoomScale="145" zoomScaleNormal="145" workbookViewId="0">
      <selection activeCell="N21" sqref="N21"/>
    </sheetView>
  </sheetViews>
  <sheetFormatPr defaultRowHeight="15" x14ac:dyDescent="0.25"/>
  <cols>
    <col min="1" max="1" width="14.7109375" customWidth="1"/>
    <col min="2" max="2" width="11.28515625" bestFit="1" customWidth="1"/>
    <col min="3" max="3" width="11.28515625" hidden="1" customWidth="1"/>
    <col min="4" max="4" width="12.42578125" hidden="1" customWidth="1"/>
    <col min="5" max="6" width="12.42578125" bestFit="1" customWidth="1"/>
    <col min="7" max="7" width="11.85546875" hidden="1" customWidth="1"/>
    <col min="8" max="8" width="7.42578125" bestFit="1" customWidth="1"/>
  </cols>
  <sheetData>
    <row r="1" spans="1:13" ht="30" customHeight="1" x14ac:dyDescent="0.25">
      <c r="A1" s="331" t="s">
        <v>100</v>
      </c>
      <c r="B1" s="332"/>
      <c r="C1" s="332"/>
      <c r="D1" s="332"/>
      <c r="E1" s="332"/>
      <c r="F1" s="332"/>
      <c r="G1" s="332"/>
      <c r="H1" s="333"/>
    </row>
    <row r="2" spans="1:13" x14ac:dyDescent="0.25">
      <c r="A2" s="223" t="s">
        <v>6</v>
      </c>
      <c r="B2" s="224" t="s">
        <v>0</v>
      </c>
      <c r="C2" s="1" t="s">
        <v>1</v>
      </c>
      <c r="D2" s="1" t="s">
        <v>2</v>
      </c>
      <c r="E2" s="225" t="s">
        <v>3</v>
      </c>
      <c r="F2" s="225" t="s">
        <v>4</v>
      </c>
      <c r="G2" s="4" t="s">
        <v>5</v>
      </c>
      <c r="H2" s="226" t="s">
        <v>10</v>
      </c>
    </row>
    <row r="3" spans="1:13" x14ac:dyDescent="0.25">
      <c r="A3" s="227" t="s">
        <v>8</v>
      </c>
      <c r="B3" s="228">
        <v>16</v>
      </c>
      <c r="C3" s="237">
        <v>100</v>
      </c>
      <c r="D3" s="228">
        <v>35</v>
      </c>
      <c r="E3" s="228">
        <v>46</v>
      </c>
      <c r="F3" s="228">
        <v>22</v>
      </c>
      <c r="G3" s="237">
        <v>100</v>
      </c>
      <c r="H3" s="229">
        <f>SUM(B3:G3)</f>
        <v>319</v>
      </c>
      <c r="I3">
        <f>B3+E3+F3</f>
        <v>84</v>
      </c>
    </row>
    <row r="4" spans="1:13" x14ac:dyDescent="0.25">
      <c r="A4" s="230" t="s">
        <v>9</v>
      </c>
      <c r="B4" s="228">
        <v>11</v>
      </c>
      <c r="C4" s="237">
        <v>10</v>
      </c>
      <c r="D4" s="228">
        <v>11</v>
      </c>
      <c r="E4" s="228">
        <v>12</v>
      </c>
      <c r="F4" s="228">
        <v>11</v>
      </c>
      <c r="G4" s="237">
        <v>17</v>
      </c>
      <c r="H4" s="229">
        <f>SUM(B4:G4)</f>
        <v>72</v>
      </c>
      <c r="I4">
        <f>B4+E4+F4</f>
        <v>34</v>
      </c>
    </row>
    <row r="5" spans="1:13" x14ac:dyDescent="0.25">
      <c r="A5" s="227" t="s">
        <v>96</v>
      </c>
      <c r="B5" s="231">
        <f t="shared" ref="B5:H5" si="0">1-(B4/B3)</f>
        <v>0.3125</v>
      </c>
      <c r="C5" s="238">
        <f t="shared" si="0"/>
        <v>0.9</v>
      </c>
      <c r="D5" s="231">
        <f t="shared" si="0"/>
        <v>0.68571428571428572</v>
      </c>
      <c r="E5" s="231">
        <f t="shared" si="0"/>
        <v>0.73913043478260865</v>
      </c>
      <c r="F5" s="231">
        <f t="shared" si="0"/>
        <v>0.5</v>
      </c>
      <c r="G5" s="238">
        <f t="shared" si="0"/>
        <v>0.83</v>
      </c>
      <c r="H5" s="232">
        <f t="shared" si="0"/>
        <v>0.77429467084639492</v>
      </c>
      <c r="I5" s="239">
        <f>(B5+E5+F5)/3</f>
        <v>0.51721014492753625</v>
      </c>
    </row>
    <row r="6" spans="1:13" ht="25.5" x14ac:dyDescent="0.25">
      <c r="A6" s="230" t="s">
        <v>97</v>
      </c>
      <c r="B6" s="231">
        <f>[1]EVALS20015!C5</f>
        <v>0.55000000000000004</v>
      </c>
      <c r="C6" s="238">
        <f>[1]EVALS20015!D5</f>
        <v>0.91</v>
      </c>
      <c r="D6" s="238">
        <f>[1]EVALS20015!E5</f>
        <v>0.8</v>
      </c>
      <c r="E6" s="233">
        <f>[1]EVALS20015!F5</f>
        <v>0.58000000000000007</v>
      </c>
      <c r="F6" s="231">
        <f>[1]EVALS20015!G5</f>
        <v>0.57000000000000006</v>
      </c>
      <c r="G6" s="238">
        <f>[1]EVALS20015!H5</f>
        <v>0.88</v>
      </c>
      <c r="H6" s="232">
        <f>AVERAGE(B6:G6)</f>
        <v>0.71499999999999997</v>
      </c>
      <c r="I6" s="239">
        <f>(B6+E6+F6)/3</f>
        <v>0.56666666666666676</v>
      </c>
    </row>
    <row r="7" spans="1:13" ht="15.75" thickBot="1" x14ac:dyDescent="0.3">
      <c r="A7" s="234" t="s">
        <v>98</v>
      </c>
      <c r="B7" s="235">
        <v>0.8</v>
      </c>
      <c r="C7" s="235">
        <v>0.8</v>
      </c>
      <c r="D7" s="235">
        <v>0.8</v>
      </c>
      <c r="E7" s="235">
        <v>0.8</v>
      </c>
      <c r="F7" s="235">
        <v>0.8</v>
      </c>
      <c r="G7" s="235">
        <v>0.8</v>
      </c>
      <c r="H7" s="235">
        <v>0.8</v>
      </c>
      <c r="I7" s="239">
        <f>(B7+E7+F7)/3</f>
        <v>0.80000000000000016</v>
      </c>
    </row>
    <row r="8" spans="1:13" x14ac:dyDescent="0.25">
      <c r="A8" s="216" t="s">
        <v>99</v>
      </c>
      <c r="B8" s="216" t="str">
        <f>B2</f>
        <v>TE82882-8</v>
      </c>
      <c r="C8" s="216" t="str">
        <f t="shared" ref="C8:H8" si="1">C2</f>
        <v>TE82882-9</v>
      </c>
      <c r="D8" s="216" t="str">
        <f t="shared" si="1"/>
        <v>TE82882-10</v>
      </c>
      <c r="E8" s="216" t="str">
        <f t="shared" si="1"/>
        <v>TE82882-11</v>
      </c>
      <c r="F8" s="216" t="str">
        <f t="shared" si="1"/>
        <v>TE82882-13</v>
      </c>
      <c r="G8" s="216" t="str">
        <f t="shared" si="1"/>
        <v>TE82882-14</v>
      </c>
      <c r="H8" s="216" t="str">
        <f t="shared" si="1"/>
        <v>Total</v>
      </c>
      <c r="I8" s="100"/>
      <c r="J8" s="100"/>
      <c r="K8" s="100"/>
      <c r="L8" s="100"/>
      <c r="M8" s="100"/>
    </row>
    <row r="9" spans="1:13" x14ac:dyDescent="0.25">
      <c r="A9" s="8">
        <v>186002998</v>
      </c>
      <c r="B9" s="8">
        <v>1</v>
      </c>
      <c r="C9" s="8">
        <v>4</v>
      </c>
      <c r="D9" s="8">
        <v>0</v>
      </c>
      <c r="E9" s="8">
        <v>2</v>
      </c>
      <c r="F9" s="8">
        <v>2</v>
      </c>
      <c r="G9" s="8">
        <v>9</v>
      </c>
      <c r="H9" s="8">
        <f>SUM(B9:G9)</f>
        <v>18</v>
      </c>
      <c r="I9" s="100"/>
      <c r="J9" s="100"/>
      <c r="K9" s="100"/>
      <c r="L9" s="100"/>
      <c r="M9" s="100"/>
    </row>
    <row r="10" spans="1:13" x14ac:dyDescent="0.25">
      <c r="A10" s="236">
        <v>186015032</v>
      </c>
      <c r="B10" s="8">
        <v>2</v>
      </c>
      <c r="C10" s="8">
        <v>40</v>
      </c>
      <c r="D10" s="8">
        <v>19</v>
      </c>
      <c r="E10" s="8">
        <v>0</v>
      </c>
      <c r="F10" s="8">
        <v>0</v>
      </c>
      <c r="G10" s="8">
        <v>0</v>
      </c>
      <c r="H10" s="8">
        <f t="shared" ref="H10:H16" si="2">SUM(B10:G10)</f>
        <v>61</v>
      </c>
      <c r="I10" s="100"/>
      <c r="J10" s="100"/>
      <c r="K10" s="100"/>
      <c r="L10" s="100"/>
      <c r="M10" s="100"/>
    </row>
    <row r="11" spans="1:13" x14ac:dyDescent="0.25">
      <c r="A11" s="236">
        <v>186015033</v>
      </c>
      <c r="B11" s="8">
        <v>5</v>
      </c>
      <c r="C11" s="8">
        <v>42</v>
      </c>
      <c r="D11" s="8">
        <v>13</v>
      </c>
      <c r="E11" s="8">
        <v>0</v>
      </c>
      <c r="F11" s="8">
        <v>0</v>
      </c>
      <c r="G11" s="8">
        <v>1</v>
      </c>
      <c r="H11" s="8">
        <f t="shared" si="2"/>
        <v>61</v>
      </c>
      <c r="I11" s="100"/>
      <c r="J11" s="100"/>
      <c r="K11" s="100"/>
      <c r="L11" s="100"/>
      <c r="M11" s="100"/>
    </row>
    <row r="12" spans="1:13" x14ac:dyDescent="0.25">
      <c r="A12" s="236">
        <v>186015034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f t="shared" si="2"/>
        <v>0</v>
      </c>
      <c r="I12" s="100"/>
      <c r="J12" s="100"/>
      <c r="K12" s="100"/>
      <c r="L12" s="100"/>
      <c r="M12" s="100"/>
    </row>
    <row r="13" spans="1:13" x14ac:dyDescent="0.25">
      <c r="A13" s="236">
        <v>186015053</v>
      </c>
      <c r="B13" s="8">
        <v>0</v>
      </c>
      <c r="C13" s="8">
        <v>1</v>
      </c>
      <c r="D13" s="8">
        <v>0</v>
      </c>
      <c r="E13" s="8">
        <v>0</v>
      </c>
      <c r="F13" s="8">
        <v>0</v>
      </c>
      <c r="G13" s="8">
        <v>0</v>
      </c>
      <c r="H13" s="8">
        <f t="shared" si="2"/>
        <v>1</v>
      </c>
      <c r="I13" s="100"/>
      <c r="J13" s="100"/>
      <c r="K13" s="100"/>
      <c r="L13" s="100"/>
      <c r="M13" s="100"/>
    </row>
    <row r="14" spans="1:13" x14ac:dyDescent="0.25">
      <c r="A14" s="8">
        <v>186017003</v>
      </c>
      <c r="B14" s="8">
        <v>1</v>
      </c>
      <c r="C14" s="8">
        <v>5</v>
      </c>
      <c r="D14" s="8">
        <v>0</v>
      </c>
      <c r="E14" s="8">
        <v>12</v>
      </c>
      <c r="F14" s="8">
        <v>6</v>
      </c>
      <c r="G14" s="8">
        <v>42</v>
      </c>
      <c r="H14" s="8">
        <f t="shared" si="2"/>
        <v>66</v>
      </c>
      <c r="I14" s="100"/>
      <c r="J14" s="100"/>
      <c r="K14" s="100"/>
      <c r="L14" s="100"/>
      <c r="M14" s="100"/>
    </row>
    <row r="15" spans="1:13" x14ac:dyDescent="0.25">
      <c r="A15" s="8">
        <v>186018007</v>
      </c>
      <c r="B15" s="8">
        <v>0</v>
      </c>
      <c r="C15" s="8">
        <v>8</v>
      </c>
      <c r="D15" s="8">
        <v>0</v>
      </c>
      <c r="E15" s="8">
        <v>0</v>
      </c>
      <c r="F15" s="8">
        <v>0</v>
      </c>
      <c r="G15" s="8">
        <v>0</v>
      </c>
      <c r="H15" s="8">
        <f t="shared" si="2"/>
        <v>8</v>
      </c>
      <c r="I15" s="100"/>
      <c r="J15" s="100"/>
      <c r="K15" s="100"/>
      <c r="L15" s="100"/>
      <c r="M15" s="100"/>
    </row>
    <row r="16" spans="1:13" x14ac:dyDescent="0.25">
      <c r="A16" s="11">
        <v>186299800</v>
      </c>
      <c r="B16" s="11">
        <v>7</v>
      </c>
      <c r="C16" s="11">
        <v>0</v>
      </c>
      <c r="D16" s="11">
        <v>3</v>
      </c>
      <c r="E16" s="11">
        <v>32</v>
      </c>
      <c r="F16" s="11">
        <v>14</v>
      </c>
      <c r="G16" s="11">
        <v>48</v>
      </c>
      <c r="H16" s="8">
        <f t="shared" si="2"/>
        <v>104</v>
      </c>
      <c r="I16" s="100"/>
      <c r="J16" s="100"/>
      <c r="K16" s="100"/>
      <c r="L16" s="100"/>
      <c r="M16" s="100"/>
    </row>
    <row r="17" spans="1:13" x14ac:dyDescent="0.25">
      <c r="A17" s="216" t="s">
        <v>10</v>
      </c>
      <c r="B17" s="216">
        <f>SUM(B9:B16)</f>
        <v>16</v>
      </c>
      <c r="C17" s="216">
        <f t="shared" ref="C17:H17" si="3">SUM(C9:C16)</f>
        <v>100</v>
      </c>
      <c r="D17" s="216">
        <f t="shared" si="3"/>
        <v>35</v>
      </c>
      <c r="E17" s="216">
        <f t="shared" si="3"/>
        <v>46</v>
      </c>
      <c r="F17" s="216">
        <f t="shared" si="3"/>
        <v>22</v>
      </c>
      <c r="G17" s="216">
        <f t="shared" si="3"/>
        <v>100</v>
      </c>
      <c r="H17" s="216">
        <f t="shared" si="3"/>
        <v>319</v>
      </c>
      <c r="I17" s="100"/>
      <c r="J17" s="100"/>
      <c r="K17" s="100"/>
      <c r="L17" s="100"/>
      <c r="M17" s="100"/>
    </row>
    <row r="18" spans="1:13" x14ac:dyDescent="0.25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  <row r="19" spans="1:13" x14ac:dyDescent="0.25">
      <c r="A19" s="100"/>
      <c r="B19" s="100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</row>
  </sheetData>
  <mergeCells count="1">
    <mergeCell ref="A1:H1"/>
  </mergeCells>
  <conditionalFormatting sqref="B5:H6">
    <cfRule type="cellIs" dxfId="73" priority="1" operator="lessThan">
      <formula>0.8</formula>
    </cfRule>
    <cfRule type="cellIs" dxfId="72" priority="2" operator="greaterThan">
      <formula>0.8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F6619-735F-4FF0-99FF-A8B73C9D7372}">
  <dimension ref="A1:T23"/>
  <sheetViews>
    <sheetView workbookViewId="0">
      <selection activeCell="F30" sqref="F30"/>
    </sheetView>
  </sheetViews>
  <sheetFormatPr defaultRowHeight="14.25" x14ac:dyDescent="0.2"/>
  <cols>
    <col min="1" max="1" width="13.42578125" style="241" customWidth="1"/>
    <col min="2" max="2" width="12" style="241" bestFit="1" customWidth="1"/>
    <col min="3" max="3" width="11.7109375" style="241" bestFit="1" customWidth="1"/>
    <col min="4" max="4" width="12" style="241" bestFit="1" customWidth="1"/>
    <col min="5" max="5" width="12" style="241" customWidth="1"/>
    <col min="6" max="6" width="12.5703125" style="241" bestFit="1" customWidth="1"/>
    <col min="7" max="7" width="12.5703125" style="241" customWidth="1"/>
    <col min="8" max="8" width="12.28515625" style="241" bestFit="1" customWidth="1"/>
    <col min="9" max="9" width="12.28515625" style="241" customWidth="1"/>
    <col min="10" max="10" width="12.28515625" style="241" bestFit="1" customWidth="1"/>
    <col min="11" max="11" width="11.7109375" style="241" bestFit="1" customWidth="1"/>
    <col min="12" max="12" width="12.5703125" style="241" bestFit="1" customWidth="1"/>
    <col min="13" max="13" width="12" style="280" bestFit="1" customWidth="1"/>
    <col min="14" max="14" width="7" style="241" bestFit="1" customWidth="1"/>
    <col min="15" max="15" width="9.140625" style="241"/>
    <col min="16" max="16" width="13" style="241" bestFit="1" customWidth="1"/>
    <col min="17" max="17" width="10" style="241" bestFit="1" customWidth="1"/>
    <col min="18" max="19" width="11" style="241" bestFit="1" customWidth="1"/>
    <col min="20" max="20" width="7" style="241" bestFit="1" customWidth="1"/>
    <col min="21" max="16384" width="9.140625" style="241"/>
  </cols>
  <sheetData>
    <row r="1" spans="1:20" x14ac:dyDescent="0.2">
      <c r="A1" s="336" t="s">
        <v>121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</row>
    <row r="2" spans="1:20" x14ac:dyDescent="0.2">
      <c r="A2" s="338" t="s">
        <v>6</v>
      </c>
      <c r="B2" s="341" t="s">
        <v>0</v>
      </c>
      <c r="C2" s="341"/>
      <c r="D2" s="342" t="s">
        <v>1</v>
      </c>
      <c r="E2" s="343"/>
      <c r="F2" s="334" t="s">
        <v>2</v>
      </c>
      <c r="G2" s="335"/>
      <c r="H2" s="344" t="s">
        <v>3</v>
      </c>
      <c r="I2" s="345"/>
      <c r="J2" s="341" t="s">
        <v>4</v>
      </c>
      <c r="K2" s="341"/>
      <c r="L2" s="334" t="s">
        <v>5</v>
      </c>
      <c r="M2" s="335"/>
      <c r="N2" s="346" t="s">
        <v>123</v>
      </c>
    </row>
    <row r="3" spans="1:20" x14ac:dyDescent="0.2">
      <c r="A3" s="339"/>
      <c r="B3" s="272" t="s">
        <v>106</v>
      </c>
      <c r="C3" s="272" t="s">
        <v>107</v>
      </c>
      <c r="D3" s="272" t="s">
        <v>106</v>
      </c>
      <c r="E3" s="272" t="s">
        <v>107</v>
      </c>
      <c r="F3" s="272" t="s">
        <v>106</v>
      </c>
      <c r="G3" s="272" t="s">
        <v>107</v>
      </c>
      <c r="H3" s="272" t="s">
        <v>106</v>
      </c>
      <c r="I3" s="272" t="s">
        <v>107</v>
      </c>
      <c r="J3" s="272" t="s">
        <v>106</v>
      </c>
      <c r="K3" s="272" t="s">
        <v>107</v>
      </c>
      <c r="L3" s="272" t="s">
        <v>106</v>
      </c>
      <c r="M3" s="281" t="s">
        <v>107</v>
      </c>
      <c r="N3" s="346"/>
    </row>
    <row r="4" spans="1:20" s="246" customFormat="1" ht="24" x14ac:dyDescent="0.2">
      <c r="A4" s="340"/>
      <c r="B4" s="244" t="s">
        <v>104</v>
      </c>
      <c r="C4" s="244" t="s">
        <v>122</v>
      </c>
      <c r="D4" s="244" t="s">
        <v>104</v>
      </c>
      <c r="E4" s="244" t="s">
        <v>122</v>
      </c>
      <c r="F4" s="244" t="s">
        <v>104</v>
      </c>
      <c r="G4" s="244" t="s">
        <v>122</v>
      </c>
      <c r="H4" s="244" t="s">
        <v>104</v>
      </c>
      <c r="I4" s="244" t="s">
        <v>122</v>
      </c>
      <c r="J4" s="244" t="s">
        <v>104</v>
      </c>
      <c r="K4" s="244" t="s">
        <v>117</v>
      </c>
      <c r="L4" s="244" t="s">
        <v>104</v>
      </c>
      <c r="M4" s="282" t="s">
        <v>117</v>
      </c>
      <c r="N4" s="346"/>
    </row>
    <row r="5" spans="1:20" x14ac:dyDescent="0.2">
      <c r="A5" s="247" t="s">
        <v>8</v>
      </c>
      <c r="B5" s="228">
        <f>B19</f>
        <v>10</v>
      </c>
      <c r="C5" s="228">
        <f t="shared" ref="C5:M5" si="0">C19</f>
        <v>58</v>
      </c>
      <c r="D5" s="228">
        <f t="shared" si="0"/>
        <v>90</v>
      </c>
      <c r="E5" s="228">
        <f t="shared" si="0"/>
        <v>269</v>
      </c>
      <c r="F5" s="228">
        <f t="shared" si="0"/>
        <v>34</v>
      </c>
      <c r="G5" s="228">
        <f t="shared" si="0"/>
        <v>75</v>
      </c>
      <c r="H5" s="228">
        <f t="shared" si="0"/>
        <v>32</v>
      </c>
      <c r="I5" s="228">
        <f t="shared" si="0"/>
        <v>109</v>
      </c>
      <c r="J5" s="228">
        <f t="shared" si="0"/>
        <v>20</v>
      </c>
      <c r="K5" s="228">
        <f t="shared" si="0"/>
        <v>85</v>
      </c>
      <c r="L5" s="228">
        <f t="shared" si="0"/>
        <v>88</v>
      </c>
      <c r="M5" s="283">
        <f t="shared" si="0"/>
        <v>301</v>
      </c>
      <c r="N5" s="228">
        <f>SUM(B5:M5)</f>
        <v>1171</v>
      </c>
    </row>
    <row r="6" spans="1:20" x14ac:dyDescent="0.2">
      <c r="A6" s="248" t="s">
        <v>9</v>
      </c>
      <c r="B6" s="228">
        <v>10</v>
      </c>
      <c r="C6" s="228">
        <v>12</v>
      </c>
      <c r="D6" s="228">
        <v>13</v>
      </c>
      <c r="E6" s="228">
        <v>9</v>
      </c>
      <c r="F6" s="228">
        <v>9</v>
      </c>
      <c r="G6" s="228">
        <v>11</v>
      </c>
      <c r="H6" s="228">
        <v>4</v>
      </c>
      <c r="I6" s="228">
        <v>19</v>
      </c>
      <c r="J6" s="228">
        <v>5</v>
      </c>
      <c r="K6" s="228">
        <v>18</v>
      </c>
      <c r="L6" s="228">
        <v>16</v>
      </c>
      <c r="M6" s="283">
        <v>23</v>
      </c>
      <c r="N6" s="228">
        <f>SUM(B6:M6)</f>
        <v>149</v>
      </c>
      <c r="P6" s="223" t="s">
        <v>6</v>
      </c>
      <c r="Q6" s="224" t="s">
        <v>0</v>
      </c>
      <c r="R6" s="272" t="s">
        <v>3</v>
      </c>
      <c r="S6" s="272" t="s">
        <v>4</v>
      </c>
      <c r="T6" s="226" t="s">
        <v>10</v>
      </c>
    </row>
    <row r="7" spans="1:20" x14ac:dyDescent="0.2">
      <c r="A7" s="247" t="s">
        <v>96</v>
      </c>
      <c r="B7" s="231">
        <f>1-(B6/B5)</f>
        <v>0</v>
      </c>
      <c r="C7" s="231">
        <f t="shared" ref="C7:N7" si="1">1-(C6/C5)</f>
        <v>0.7931034482758621</v>
      </c>
      <c r="D7" s="231">
        <f t="shared" si="1"/>
        <v>0.85555555555555562</v>
      </c>
      <c r="E7" s="231">
        <f t="shared" si="1"/>
        <v>0.96654275092936803</v>
      </c>
      <c r="F7" s="231">
        <f t="shared" si="1"/>
        <v>0.73529411764705888</v>
      </c>
      <c r="G7" s="231">
        <f t="shared" si="1"/>
        <v>0.85333333333333328</v>
      </c>
      <c r="H7" s="231">
        <f t="shared" si="1"/>
        <v>0.875</v>
      </c>
      <c r="I7" s="231">
        <f t="shared" si="1"/>
        <v>0.82568807339449535</v>
      </c>
      <c r="J7" s="231">
        <f t="shared" si="1"/>
        <v>0.75</v>
      </c>
      <c r="K7" s="231">
        <f t="shared" si="1"/>
        <v>0.78823529411764703</v>
      </c>
      <c r="L7" s="231">
        <f t="shared" si="1"/>
        <v>0.81818181818181812</v>
      </c>
      <c r="M7" s="284">
        <f t="shared" si="1"/>
        <v>0.92358803986710969</v>
      </c>
      <c r="N7" s="231">
        <f t="shared" si="1"/>
        <v>0.87275832621690863</v>
      </c>
      <c r="P7" s="227" t="s">
        <v>96</v>
      </c>
      <c r="Q7" s="231">
        <f>C7</f>
        <v>0.7931034482758621</v>
      </c>
      <c r="R7" s="231">
        <f>H7</f>
        <v>0.875</v>
      </c>
      <c r="S7" s="231">
        <f>K7</f>
        <v>0.78823529411764703</v>
      </c>
      <c r="T7" s="232">
        <f>AVERAGE(Q7:S7)</f>
        <v>0.8187795807978363</v>
      </c>
    </row>
    <row r="8" spans="1:20" ht="38.25" x14ac:dyDescent="0.2">
      <c r="A8" s="248" t="s">
        <v>97</v>
      </c>
      <c r="B8" s="231">
        <v>0.55000000000000004</v>
      </c>
      <c r="C8" s="231">
        <v>0.55000000000000004</v>
      </c>
      <c r="D8" s="243">
        <v>0.91</v>
      </c>
      <c r="E8" s="243">
        <v>0.91</v>
      </c>
      <c r="F8" s="243">
        <v>0.8</v>
      </c>
      <c r="G8" s="243">
        <v>0.8</v>
      </c>
      <c r="H8" s="233">
        <v>0.58000000000000007</v>
      </c>
      <c r="I8" s="233">
        <v>0.58000000000000007</v>
      </c>
      <c r="J8" s="231">
        <v>0.57000000000000006</v>
      </c>
      <c r="K8" s="231">
        <v>0.56999999999999995</v>
      </c>
      <c r="L8" s="243">
        <v>0.88</v>
      </c>
      <c r="M8" s="285">
        <v>0.88</v>
      </c>
      <c r="N8" s="231">
        <f>AVERAGE(C8,D8,F8,H8,K8,L8)</f>
        <v>0.71499999999999997</v>
      </c>
      <c r="P8" s="230" t="s">
        <v>97</v>
      </c>
      <c r="Q8" s="231">
        <v>0.55000000000000004</v>
      </c>
      <c r="R8" s="233">
        <v>0.58000000000000007</v>
      </c>
      <c r="S8" s="231">
        <v>0.57000000000000006</v>
      </c>
      <c r="T8" s="232">
        <v>0.56666666666666676</v>
      </c>
    </row>
    <row r="9" spans="1:20" ht="15" thickBot="1" x14ac:dyDescent="0.25">
      <c r="A9" s="249" t="s">
        <v>98</v>
      </c>
      <c r="B9" s="3">
        <v>0.8</v>
      </c>
      <c r="C9" s="3">
        <v>0.8</v>
      </c>
      <c r="D9" s="3">
        <v>0.8</v>
      </c>
      <c r="E9" s="3">
        <v>0.8</v>
      </c>
      <c r="F9" s="3">
        <v>0.8</v>
      </c>
      <c r="G9" s="3">
        <v>0.8</v>
      </c>
      <c r="H9" s="3">
        <v>0.8</v>
      </c>
      <c r="I9" s="3">
        <v>0.8</v>
      </c>
      <c r="J9" s="3">
        <v>0.8</v>
      </c>
      <c r="K9" s="3">
        <v>0.8</v>
      </c>
      <c r="L9" s="3">
        <v>0.8</v>
      </c>
      <c r="M9" s="286">
        <v>0.8</v>
      </c>
      <c r="N9" s="3">
        <v>0.8</v>
      </c>
      <c r="P9" s="234" t="s">
        <v>98</v>
      </c>
      <c r="Q9" s="235">
        <v>0.8</v>
      </c>
      <c r="R9" s="235">
        <v>0.8</v>
      </c>
      <c r="S9" s="235">
        <v>0.8</v>
      </c>
      <c r="T9" s="235">
        <v>0.8</v>
      </c>
    </row>
    <row r="10" spans="1:20" ht="15" x14ac:dyDescent="0.2">
      <c r="A10" s="216" t="s">
        <v>99</v>
      </c>
      <c r="B10" s="341" t="s">
        <v>0</v>
      </c>
      <c r="C10" s="341"/>
      <c r="D10" s="342" t="s">
        <v>1</v>
      </c>
      <c r="E10" s="343"/>
      <c r="F10" s="334" t="s">
        <v>2</v>
      </c>
      <c r="G10" s="335"/>
      <c r="H10" s="344" t="s">
        <v>3</v>
      </c>
      <c r="I10" s="345"/>
      <c r="J10" s="341" t="s">
        <v>4</v>
      </c>
      <c r="K10" s="341"/>
      <c r="L10" s="334" t="s">
        <v>5</v>
      </c>
      <c r="M10" s="335"/>
      <c r="N10" s="216" t="s">
        <v>10</v>
      </c>
      <c r="O10" s="100"/>
      <c r="P10" s="100"/>
      <c r="Q10" s="100"/>
      <c r="R10" s="100"/>
    </row>
    <row r="11" spans="1:20" x14ac:dyDescent="0.2">
      <c r="A11" s="8">
        <v>186002998</v>
      </c>
      <c r="B11" s="8">
        <v>1</v>
      </c>
      <c r="C11" s="8">
        <v>2</v>
      </c>
      <c r="D11" s="8">
        <v>4</v>
      </c>
      <c r="E11" s="8">
        <v>0</v>
      </c>
      <c r="F11" s="8">
        <v>0</v>
      </c>
      <c r="G11" s="8">
        <v>0</v>
      </c>
      <c r="H11" s="8">
        <v>1</v>
      </c>
      <c r="I11" s="8">
        <v>10</v>
      </c>
      <c r="J11" s="8">
        <v>2</v>
      </c>
      <c r="K11" s="8">
        <v>11</v>
      </c>
      <c r="L11" s="228">
        <v>5</v>
      </c>
      <c r="M11" s="287">
        <v>21</v>
      </c>
      <c r="N11" s="8">
        <f>SUM(B11:M11)</f>
        <v>57</v>
      </c>
      <c r="O11" s="100"/>
      <c r="P11" s="100"/>
    </row>
    <row r="12" spans="1:20" x14ac:dyDescent="0.2">
      <c r="A12" s="236">
        <v>186015032</v>
      </c>
      <c r="B12" s="8">
        <v>0</v>
      </c>
      <c r="C12" s="8">
        <v>19</v>
      </c>
      <c r="D12" s="8">
        <v>34</v>
      </c>
      <c r="E12" s="8">
        <v>150</v>
      </c>
      <c r="F12" s="8">
        <v>20</v>
      </c>
      <c r="G12" s="8">
        <v>19</v>
      </c>
      <c r="H12" s="8">
        <v>0</v>
      </c>
      <c r="I12" s="8">
        <v>0</v>
      </c>
      <c r="J12" s="8">
        <v>0</v>
      </c>
      <c r="K12" s="8">
        <v>3</v>
      </c>
      <c r="L12" s="228">
        <v>0</v>
      </c>
      <c r="M12" s="287">
        <v>0</v>
      </c>
      <c r="N12" s="8">
        <f t="shared" ref="N12:N18" si="2">SUM(B12:M12)</f>
        <v>245</v>
      </c>
      <c r="O12" s="100"/>
      <c r="P12" s="100"/>
    </row>
    <row r="13" spans="1:20" x14ac:dyDescent="0.2">
      <c r="A13" s="236">
        <v>186015033</v>
      </c>
      <c r="B13" s="8">
        <v>1</v>
      </c>
      <c r="C13" s="8">
        <v>22</v>
      </c>
      <c r="D13" s="8">
        <v>39</v>
      </c>
      <c r="E13" s="8">
        <v>111</v>
      </c>
      <c r="F13" s="8">
        <v>1</v>
      </c>
      <c r="G13" s="8">
        <v>41</v>
      </c>
      <c r="H13" s="8">
        <v>0</v>
      </c>
      <c r="I13" s="8">
        <v>8</v>
      </c>
      <c r="J13" s="8">
        <v>0</v>
      </c>
      <c r="K13" s="8">
        <v>2</v>
      </c>
      <c r="L13" s="228">
        <v>1</v>
      </c>
      <c r="M13" s="287">
        <v>0</v>
      </c>
      <c r="N13" s="8">
        <f t="shared" si="2"/>
        <v>226</v>
      </c>
      <c r="O13" s="100"/>
      <c r="P13" s="100"/>
    </row>
    <row r="14" spans="1:20" x14ac:dyDescent="0.2">
      <c r="A14" s="236">
        <v>186015034</v>
      </c>
      <c r="B14" s="8">
        <v>0</v>
      </c>
      <c r="C14" s="8">
        <v>4</v>
      </c>
      <c r="D14" s="8">
        <v>0</v>
      </c>
      <c r="E14" s="8">
        <v>1</v>
      </c>
      <c r="F14" s="8">
        <v>13</v>
      </c>
      <c r="G14" s="8">
        <v>7</v>
      </c>
      <c r="H14" s="8">
        <v>0</v>
      </c>
      <c r="I14" s="8">
        <v>4</v>
      </c>
      <c r="J14" s="8">
        <v>0</v>
      </c>
      <c r="K14" s="8">
        <v>0</v>
      </c>
      <c r="L14" s="228">
        <v>0</v>
      </c>
      <c r="M14" s="287">
        <v>0</v>
      </c>
      <c r="N14" s="8">
        <f t="shared" si="2"/>
        <v>29</v>
      </c>
      <c r="O14" s="100"/>
      <c r="P14" s="100"/>
    </row>
    <row r="15" spans="1:20" x14ac:dyDescent="0.2">
      <c r="A15" s="236">
        <v>186015053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5">
        <v>0</v>
      </c>
      <c r="H15" s="8">
        <v>0</v>
      </c>
      <c r="I15" s="8">
        <v>0</v>
      </c>
      <c r="J15" s="8">
        <v>0</v>
      </c>
      <c r="K15" s="8">
        <v>0</v>
      </c>
      <c r="L15" s="228">
        <v>0</v>
      </c>
      <c r="M15" s="287">
        <v>0</v>
      </c>
      <c r="N15" s="8">
        <f t="shared" si="2"/>
        <v>0</v>
      </c>
      <c r="O15" s="100"/>
      <c r="P15" s="100"/>
    </row>
    <row r="16" spans="1:20" x14ac:dyDescent="0.2">
      <c r="A16" s="8">
        <v>186017003</v>
      </c>
      <c r="B16" s="8">
        <v>1</v>
      </c>
      <c r="C16" s="8">
        <v>2</v>
      </c>
      <c r="D16" s="8">
        <v>5</v>
      </c>
      <c r="E16" s="8">
        <v>1</v>
      </c>
      <c r="F16" s="8">
        <v>0</v>
      </c>
      <c r="G16" s="8">
        <v>4</v>
      </c>
      <c r="H16" s="8">
        <v>0</v>
      </c>
      <c r="I16" s="8">
        <v>12</v>
      </c>
      <c r="J16" s="8">
        <v>0</v>
      </c>
      <c r="K16" s="8">
        <v>21</v>
      </c>
      <c r="L16" s="228">
        <v>36</v>
      </c>
      <c r="M16" s="287">
        <v>53</v>
      </c>
      <c r="N16" s="8">
        <f t="shared" si="2"/>
        <v>135</v>
      </c>
      <c r="O16" s="100"/>
      <c r="P16" s="100"/>
    </row>
    <row r="17" spans="1:18" x14ac:dyDescent="0.2">
      <c r="A17" s="8">
        <v>186018007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7</v>
      </c>
      <c r="I17" s="8">
        <v>0</v>
      </c>
      <c r="J17" s="8">
        <v>6</v>
      </c>
      <c r="K17" s="8">
        <v>0</v>
      </c>
      <c r="L17" s="228">
        <v>0</v>
      </c>
      <c r="M17" s="287">
        <v>0</v>
      </c>
      <c r="N17" s="8">
        <f t="shared" si="2"/>
        <v>13</v>
      </c>
      <c r="O17" s="100"/>
      <c r="P17" s="100"/>
    </row>
    <row r="18" spans="1:18" x14ac:dyDescent="0.2">
      <c r="A18" s="11">
        <v>186299800</v>
      </c>
      <c r="B18" s="11">
        <v>7</v>
      </c>
      <c r="C18" s="11">
        <v>9</v>
      </c>
      <c r="D18" s="11">
        <v>8</v>
      </c>
      <c r="E18" s="11">
        <v>6</v>
      </c>
      <c r="F18" s="11">
        <v>0</v>
      </c>
      <c r="G18" s="11">
        <v>4</v>
      </c>
      <c r="H18" s="11">
        <v>24</v>
      </c>
      <c r="I18" s="11">
        <v>75</v>
      </c>
      <c r="J18" s="11">
        <v>12</v>
      </c>
      <c r="K18" s="11">
        <v>48</v>
      </c>
      <c r="L18" s="228">
        <v>46</v>
      </c>
      <c r="M18" s="287">
        <v>227</v>
      </c>
      <c r="N18" s="8">
        <f t="shared" si="2"/>
        <v>466</v>
      </c>
      <c r="O18" s="100"/>
      <c r="P18" s="100"/>
    </row>
    <row r="19" spans="1:18" ht="15" x14ac:dyDescent="0.25">
      <c r="A19" s="216" t="s">
        <v>10</v>
      </c>
      <c r="B19" s="216">
        <f>SUM(B11:B18)</f>
        <v>10</v>
      </c>
      <c r="C19" s="216">
        <f t="shared" ref="C19:N19" si="3">SUM(C11:C18)</f>
        <v>58</v>
      </c>
      <c r="D19" s="216">
        <f t="shared" si="3"/>
        <v>90</v>
      </c>
      <c r="E19" s="216">
        <f t="shared" si="3"/>
        <v>269</v>
      </c>
      <c r="F19" s="216">
        <f t="shared" si="3"/>
        <v>34</v>
      </c>
      <c r="G19" s="216">
        <f t="shared" si="3"/>
        <v>75</v>
      </c>
      <c r="H19" s="216">
        <f t="shared" si="3"/>
        <v>32</v>
      </c>
      <c r="I19" s="216">
        <f t="shared" si="3"/>
        <v>109</v>
      </c>
      <c r="J19" s="216">
        <f t="shared" si="3"/>
        <v>20</v>
      </c>
      <c r="K19" s="216">
        <f t="shared" si="3"/>
        <v>85</v>
      </c>
      <c r="L19" s="216">
        <f t="shared" si="3"/>
        <v>88</v>
      </c>
      <c r="M19" s="288">
        <f t="shared" si="3"/>
        <v>301</v>
      </c>
      <c r="N19" s="216">
        <f t="shared" si="3"/>
        <v>1171</v>
      </c>
      <c r="O19" s="100"/>
      <c r="P19" s="100"/>
      <c r="Q19" s="100"/>
      <c r="R19" s="100"/>
    </row>
    <row r="23" spans="1:18" x14ac:dyDescent="0.2">
      <c r="H23" s="242"/>
      <c r="I23" s="242"/>
    </row>
  </sheetData>
  <mergeCells count="15">
    <mergeCell ref="L10:M10"/>
    <mergeCell ref="A1:N1"/>
    <mergeCell ref="A2:A4"/>
    <mergeCell ref="B2:C2"/>
    <mergeCell ref="D2:E2"/>
    <mergeCell ref="F2:G2"/>
    <mergeCell ref="H2:I2"/>
    <mergeCell ref="J2:K2"/>
    <mergeCell ref="L2:M2"/>
    <mergeCell ref="N2:N4"/>
    <mergeCell ref="B10:C10"/>
    <mergeCell ref="D10:E10"/>
    <mergeCell ref="F10:G10"/>
    <mergeCell ref="H10:I10"/>
    <mergeCell ref="J10:K10"/>
  </mergeCells>
  <conditionalFormatting sqref="B8:C8 N8 F8:K8 B7:N7">
    <cfRule type="cellIs" dxfId="71" priority="14" operator="lessThan">
      <formula>0.8</formula>
    </cfRule>
    <cfRule type="cellIs" dxfId="70" priority="15" operator="greaterThan">
      <formula>0.8</formula>
    </cfRule>
  </conditionalFormatting>
  <conditionalFormatting sqref="T7:T8">
    <cfRule type="cellIs" dxfId="69" priority="6" operator="lessThan">
      <formula>0.8</formula>
    </cfRule>
    <cfRule type="cellIs" dxfId="68" priority="7" operator="greaterThan">
      <formula>0.8</formula>
    </cfRule>
  </conditionalFormatting>
  <conditionalFormatting sqref="Q7:Q8">
    <cfRule type="cellIs" dxfId="67" priority="12" operator="lessThan">
      <formula>0.8</formula>
    </cfRule>
    <cfRule type="cellIs" dxfId="66" priority="13" stopIfTrue="1" operator="greaterThan">
      <formula>0.8</formula>
    </cfRule>
  </conditionalFormatting>
  <conditionalFormatting sqref="R7:R8">
    <cfRule type="cellIs" dxfId="65" priority="10" operator="lessThan">
      <formula>0.8</formula>
    </cfRule>
    <cfRule type="cellIs" dxfId="64" priority="11" operator="greaterThan">
      <formula>0.8</formula>
    </cfRule>
  </conditionalFormatting>
  <conditionalFormatting sqref="S7:S8">
    <cfRule type="cellIs" dxfId="63" priority="8" operator="lessThan">
      <formula>0.8</formula>
    </cfRule>
    <cfRule type="cellIs" dxfId="62" priority="9" operator="greaterThan">
      <formula>0.8</formula>
    </cfRule>
  </conditionalFormatting>
  <conditionalFormatting sqref="N8 P7:XFD7 A7:N7">
    <cfRule type="cellIs" dxfId="61" priority="4" operator="greaterThan">
      <formula>0.7999</formula>
    </cfRule>
    <cfRule type="cellIs" dxfId="60" priority="5" operator="greaterThan">
      <formula>80</formula>
    </cfRule>
  </conditionalFormatting>
  <conditionalFormatting sqref="N8 B7:N7">
    <cfRule type="cellIs" dxfId="59" priority="1" operator="lessThan">
      <formula>0.8</formula>
    </cfRule>
    <cfRule type="cellIs" dxfId="58" priority="3" operator="greaterThan">
      <formula>0.55</formula>
    </cfRule>
  </conditionalFormatting>
  <conditionalFormatting sqref="Q7:T7">
    <cfRule type="cellIs" dxfId="57" priority="2" operator="greaterThan">
      <formula>0.55</formula>
    </cfRule>
  </conditionalFormatting>
  <pageMargins left="0.7" right="0.7" top="0.75" bottom="0.75" header="0.3" footer="0.3"/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CFC4E-1693-4A61-BC4D-DA55A149C36D}">
  <dimension ref="A1:N21"/>
  <sheetViews>
    <sheetView showGridLines="0" zoomScale="115" zoomScaleNormal="115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H9" sqref="H9"/>
    </sheetView>
  </sheetViews>
  <sheetFormatPr defaultRowHeight="14.25" x14ac:dyDescent="0.2"/>
  <cols>
    <col min="1" max="1" width="13.42578125" style="241" customWidth="1"/>
    <col min="2" max="3" width="12" style="241" bestFit="1" customWidth="1"/>
    <col min="4" max="4" width="12.5703125" style="241" bestFit="1" customWidth="1"/>
    <col min="5" max="6" width="12.28515625" style="241" bestFit="1" customWidth="1"/>
    <col min="7" max="7" width="12.5703125" style="241" bestFit="1" customWidth="1"/>
    <col min="8" max="8" width="7" style="241" bestFit="1" customWidth="1"/>
    <col min="9" max="9" width="9.140625" style="241"/>
    <col min="10" max="10" width="13" style="241" bestFit="1" customWidth="1"/>
    <col min="11" max="11" width="10" style="241" bestFit="1" customWidth="1"/>
    <col min="12" max="13" width="11" style="241" bestFit="1" customWidth="1"/>
    <col min="14" max="14" width="7" style="241" bestFit="1" customWidth="1"/>
    <col min="15" max="16384" width="9.140625" style="241"/>
  </cols>
  <sheetData>
    <row r="1" spans="1:14" x14ac:dyDescent="0.2">
      <c r="A1" s="336" t="s">
        <v>124</v>
      </c>
      <c r="B1" s="337"/>
      <c r="C1" s="337"/>
      <c r="D1" s="337"/>
      <c r="E1" s="337"/>
      <c r="F1" s="337"/>
      <c r="G1" s="337"/>
      <c r="H1" s="337"/>
    </row>
    <row r="2" spans="1:14" x14ac:dyDescent="0.2">
      <c r="A2" s="273" t="s">
        <v>6</v>
      </c>
      <c r="B2" s="272" t="s">
        <v>0</v>
      </c>
      <c r="C2" s="274" t="s">
        <v>1</v>
      </c>
      <c r="D2" s="276" t="s">
        <v>2</v>
      </c>
      <c r="E2" s="278" t="s">
        <v>3</v>
      </c>
      <c r="F2" s="272" t="s">
        <v>4</v>
      </c>
      <c r="G2" s="276" t="s">
        <v>5</v>
      </c>
      <c r="H2" s="271" t="s">
        <v>123</v>
      </c>
    </row>
    <row r="3" spans="1:14" x14ac:dyDescent="0.2">
      <c r="A3" s="247" t="s">
        <v>8</v>
      </c>
      <c r="B3" s="228">
        <f>B17</f>
        <v>10</v>
      </c>
      <c r="C3" s="228">
        <f t="shared" ref="C3:G3" si="0">C17</f>
        <v>90</v>
      </c>
      <c r="D3" s="228">
        <f t="shared" si="0"/>
        <v>34</v>
      </c>
      <c r="E3" s="228">
        <f t="shared" si="0"/>
        <v>32</v>
      </c>
      <c r="F3" s="228">
        <f t="shared" si="0"/>
        <v>20</v>
      </c>
      <c r="G3" s="228">
        <f t="shared" si="0"/>
        <v>88</v>
      </c>
      <c r="H3" s="228">
        <f>SUM(B3:G3)</f>
        <v>274</v>
      </c>
    </row>
    <row r="4" spans="1:14" x14ac:dyDescent="0.2">
      <c r="A4" s="248" t="s">
        <v>9</v>
      </c>
      <c r="B4" s="228">
        <v>10</v>
      </c>
      <c r="C4" s="228">
        <v>13</v>
      </c>
      <c r="D4" s="228">
        <v>9</v>
      </c>
      <c r="E4" s="228">
        <v>4</v>
      </c>
      <c r="F4" s="228">
        <v>5</v>
      </c>
      <c r="G4" s="228">
        <v>16</v>
      </c>
      <c r="H4" s="228">
        <f>SUM(B4:G4)</f>
        <v>57</v>
      </c>
      <c r="J4" s="223" t="s">
        <v>6</v>
      </c>
      <c r="K4" s="224" t="s">
        <v>0</v>
      </c>
      <c r="L4" s="225" t="s">
        <v>3</v>
      </c>
      <c r="M4" s="225" t="s">
        <v>4</v>
      </c>
      <c r="N4" s="226" t="s">
        <v>10</v>
      </c>
    </row>
    <row r="5" spans="1:14" x14ac:dyDescent="0.2">
      <c r="A5" s="247" t="s">
        <v>96</v>
      </c>
      <c r="B5" s="231">
        <f>1-(B4/B3)</f>
        <v>0</v>
      </c>
      <c r="C5" s="231">
        <f t="shared" ref="C5:H5" si="1">1-(C4/C3)</f>
        <v>0.85555555555555562</v>
      </c>
      <c r="D5" s="231">
        <f t="shared" si="1"/>
        <v>0.73529411764705888</v>
      </c>
      <c r="E5" s="231">
        <f t="shared" si="1"/>
        <v>0.875</v>
      </c>
      <c r="F5" s="231">
        <f t="shared" si="1"/>
        <v>0.75</v>
      </c>
      <c r="G5" s="231">
        <f t="shared" si="1"/>
        <v>0.81818181818181812</v>
      </c>
      <c r="H5" s="231">
        <f t="shared" si="1"/>
        <v>0.79197080291970801</v>
      </c>
      <c r="J5" s="227" t="s">
        <v>96</v>
      </c>
      <c r="K5" s="231" t="e">
        <f>#REF!</f>
        <v>#REF!</v>
      </c>
      <c r="L5" s="231">
        <f>E5</f>
        <v>0.875</v>
      </c>
      <c r="M5" s="231" t="e">
        <f>#REF!</f>
        <v>#REF!</v>
      </c>
      <c r="N5" s="232" t="e">
        <f>AVERAGE(K5:M5)</f>
        <v>#REF!</v>
      </c>
    </row>
    <row r="6" spans="1:14" ht="38.25" x14ac:dyDescent="0.2">
      <c r="A6" s="248" t="s">
        <v>97</v>
      </c>
      <c r="B6" s="231">
        <v>0.55000000000000004</v>
      </c>
      <c r="C6" s="243">
        <v>0.91</v>
      </c>
      <c r="D6" s="243">
        <v>0.8</v>
      </c>
      <c r="E6" s="233">
        <v>0.58000000000000007</v>
      </c>
      <c r="F6" s="231">
        <v>0.57000000000000006</v>
      </c>
      <c r="G6" s="243">
        <v>0.88</v>
      </c>
      <c r="H6" s="231">
        <f>AVERAGE(B6:G6)</f>
        <v>0.71499999999999997</v>
      </c>
      <c r="J6" s="230" t="s">
        <v>97</v>
      </c>
      <c r="K6" s="231">
        <v>0.55000000000000004</v>
      </c>
      <c r="L6" s="233">
        <v>0.58000000000000007</v>
      </c>
      <c r="M6" s="231">
        <v>0.57000000000000006</v>
      </c>
      <c r="N6" s="232">
        <v>0.56666666666666676</v>
      </c>
    </row>
    <row r="7" spans="1:14" ht="15" thickBot="1" x14ac:dyDescent="0.25">
      <c r="A7" s="249" t="s">
        <v>98</v>
      </c>
      <c r="B7" s="3">
        <v>0.8</v>
      </c>
      <c r="C7" s="3">
        <v>0.8</v>
      </c>
      <c r="D7" s="3">
        <v>0.8</v>
      </c>
      <c r="E7" s="3">
        <v>0.8</v>
      </c>
      <c r="F7" s="3">
        <v>0.8</v>
      </c>
      <c r="G7" s="3">
        <v>0.8</v>
      </c>
      <c r="H7" s="3">
        <v>0.8</v>
      </c>
      <c r="J7" s="234" t="s">
        <v>98</v>
      </c>
      <c r="K7" s="235">
        <v>0.8</v>
      </c>
      <c r="L7" s="235">
        <v>0.8</v>
      </c>
      <c r="M7" s="235">
        <v>0.8</v>
      </c>
      <c r="N7" s="235">
        <v>0.8</v>
      </c>
    </row>
    <row r="8" spans="1:14" ht="15" x14ac:dyDescent="0.2">
      <c r="A8" s="216" t="s">
        <v>99</v>
      </c>
      <c r="B8" s="272" t="s">
        <v>0</v>
      </c>
      <c r="C8" s="274" t="s">
        <v>1</v>
      </c>
      <c r="D8" s="276" t="s">
        <v>2</v>
      </c>
      <c r="E8" s="278" t="s">
        <v>3</v>
      </c>
      <c r="F8" s="272" t="s">
        <v>4</v>
      </c>
      <c r="G8" s="276" t="s">
        <v>5</v>
      </c>
      <c r="H8" s="216" t="s">
        <v>10</v>
      </c>
      <c r="I8" s="100"/>
      <c r="J8" s="100"/>
      <c r="K8" s="100"/>
      <c r="L8" s="100"/>
    </row>
    <row r="9" spans="1:14" x14ac:dyDescent="0.2">
      <c r="A9" s="8">
        <v>186002998</v>
      </c>
      <c r="B9" s="8">
        <v>1</v>
      </c>
      <c r="C9" s="8">
        <v>4</v>
      </c>
      <c r="D9" s="8">
        <v>0</v>
      </c>
      <c r="E9" s="8">
        <v>1</v>
      </c>
      <c r="F9" s="8">
        <v>2</v>
      </c>
      <c r="G9" s="228">
        <v>5</v>
      </c>
      <c r="H9" s="8">
        <f t="shared" ref="H9:H16" si="2">SUM(B9:G9)</f>
        <v>13</v>
      </c>
      <c r="I9" s="100"/>
      <c r="J9" s="100"/>
    </row>
    <row r="10" spans="1:14" x14ac:dyDescent="0.2">
      <c r="A10" s="236">
        <v>186015032</v>
      </c>
      <c r="B10" s="8">
        <v>0</v>
      </c>
      <c r="C10" s="8">
        <v>34</v>
      </c>
      <c r="D10" s="8">
        <v>20</v>
      </c>
      <c r="E10" s="8">
        <v>0</v>
      </c>
      <c r="F10" s="8">
        <v>0</v>
      </c>
      <c r="G10" s="228">
        <v>0</v>
      </c>
      <c r="H10" s="8">
        <f t="shared" si="2"/>
        <v>54</v>
      </c>
      <c r="I10" s="100"/>
      <c r="J10" s="100"/>
    </row>
    <row r="11" spans="1:14" x14ac:dyDescent="0.2">
      <c r="A11" s="236">
        <v>186015033</v>
      </c>
      <c r="B11" s="8">
        <v>1</v>
      </c>
      <c r="C11" s="8">
        <v>39</v>
      </c>
      <c r="D11" s="8">
        <v>1</v>
      </c>
      <c r="E11" s="8">
        <v>0</v>
      </c>
      <c r="F11" s="8">
        <v>0</v>
      </c>
      <c r="G11" s="228">
        <v>1</v>
      </c>
      <c r="H11" s="8">
        <f t="shared" si="2"/>
        <v>42</v>
      </c>
      <c r="I11" s="100"/>
      <c r="J11" s="100"/>
    </row>
    <row r="12" spans="1:14" x14ac:dyDescent="0.2">
      <c r="A12" s="236">
        <v>186015034</v>
      </c>
      <c r="B12" s="8">
        <v>0</v>
      </c>
      <c r="C12" s="8">
        <v>0</v>
      </c>
      <c r="D12" s="8">
        <v>13</v>
      </c>
      <c r="E12" s="8">
        <v>0</v>
      </c>
      <c r="F12" s="8">
        <v>0</v>
      </c>
      <c r="G12" s="228">
        <v>0</v>
      </c>
      <c r="H12" s="8">
        <f t="shared" si="2"/>
        <v>13</v>
      </c>
      <c r="I12" s="100"/>
      <c r="J12" s="100"/>
    </row>
    <row r="13" spans="1:14" x14ac:dyDescent="0.2">
      <c r="A13" s="236">
        <v>186015053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228">
        <v>0</v>
      </c>
      <c r="H13" s="8">
        <f t="shared" si="2"/>
        <v>0</v>
      </c>
      <c r="I13" s="100"/>
      <c r="J13" s="100"/>
    </row>
    <row r="14" spans="1:14" x14ac:dyDescent="0.2">
      <c r="A14" s="8">
        <v>186017003</v>
      </c>
      <c r="B14" s="8">
        <v>1</v>
      </c>
      <c r="C14" s="8">
        <v>5</v>
      </c>
      <c r="D14" s="8">
        <v>0</v>
      </c>
      <c r="E14" s="8">
        <v>0</v>
      </c>
      <c r="F14" s="8">
        <v>0</v>
      </c>
      <c r="G14" s="228">
        <v>36</v>
      </c>
      <c r="H14" s="8">
        <f t="shared" si="2"/>
        <v>42</v>
      </c>
      <c r="I14" s="100"/>
      <c r="J14" s="100"/>
    </row>
    <row r="15" spans="1:14" x14ac:dyDescent="0.2">
      <c r="A15" s="8">
        <v>186018007</v>
      </c>
      <c r="B15" s="8">
        <v>0</v>
      </c>
      <c r="C15" s="8">
        <v>0</v>
      </c>
      <c r="D15" s="8">
        <v>0</v>
      </c>
      <c r="E15" s="8">
        <v>7</v>
      </c>
      <c r="F15" s="8">
        <v>6</v>
      </c>
      <c r="G15" s="228">
        <v>0</v>
      </c>
      <c r="H15" s="8">
        <f t="shared" si="2"/>
        <v>13</v>
      </c>
      <c r="I15" s="100"/>
      <c r="J15" s="100"/>
    </row>
    <row r="16" spans="1:14" x14ac:dyDescent="0.2">
      <c r="A16" s="11">
        <v>186299800</v>
      </c>
      <c r="B16" s="11">
        <v>7</v>
      </c>
      <c r="C16" s="11">
        <v>8</v>
      </c>
      <c r="D16" s="11">
        <v>0</v>
      </c>
      <c r="E16" s="11">
        <v>24</v>
      </c>
      <c r="F16" s="11">
        <v>12</v>
      </c>
      <c r="G16" s="228">
        <v>46</v>
      </c>
      <c r="H16" s="8">
        <f t="shared" si="2"/>
        <v>97</v>
      </c>
      <c r="I16" s="100"/>
      <c r="J16" s="100"/>
    </row>
    <row r="17" spans="1:12" ht="15" x14ac:dyDescent="0.2">
      <c r="A17" s="216" t="s">
        <v>10</v>
      </c>
      <c r="B17" s="216">
        <f>SUM(B9:B16)</f>
        <v>10</v>
      </c>
      <c r="C17" s="216">
        <f t="shared" ref="C17:H17" si="3">SUM(C9:C16)</f>
        <v>90</v>
      </c>
      <c r="D17" s="216">
        <f t="shared" si="3"/>
        <v>34</v>
      </c>
      <c r="E17" s="216">
        <f t="shared" si="3"/>
        <v>32</v>
      </c>
      <c r="F17" s="216">
        <f t="shared" si="3"/>
        <v>20</v>
      </c>
      <c r="G17" s="216">
        <f t="shared" si="3"/>
        <v>88</v>
      </c>
      <c r="H17" s="216">
        <f t="shared" si="3"/>
        <v>274</v>
      </c>
      <c r="I17" s="100"/>
      <c r="J17" s="100"/>
      <c r="K17" s="100"/>
      <c r="L17" s="100"/>
    </row>
    <row r="21" spans="1:12" x14ac:dyDescent="0.2">
      <c r="E21" s="242"/>
    </row>
  </sheetData>
  <mergeCells count="1">
    <mergeCell ref="A1:H1"/>
  </mergeCells>
  <conditionalFormatting sqref="B6 H6 D6:F6 B5:H5">
    <cfRule type="cellIs" dxfId="56" priority="16" operator="lessThan">
      <formula>0.8</formula>
    </cfRule>
    <cfRule type="cellIs" dxfId="55" priority="17" operator="greaterThan">
      <formula>0.8</formula>
    </cfRule>
  </conditionalFormatting>
  <conditionalFormatting sqref="N5:N6">
    <cfRule type="cellIs" dxfId="54" priority="6" operator="lessThan">
      <formula>0.8</formula>
    </cfRule>
    <cfRule type="cellIs" dxfId="53" priority="7" operator="greaterThan">
      <formula>0.8</formula>
    </cfRule>
  </conditionalFormatting>
  <conditionalFormatting sqref="K5:K6">
    <cfRule type="cellIs" dxfId="52" priority="12" operator="lessThan">
      <formula>0.8</formula>
    </cfRule>
    <cfRule type="cellIs" dxfId="51" priority="13" stopIfTrue="1" operator="greaterThan">
      <formula>0.8</formula>
    </cfRule>
  </conditionalFormatting>
  <conditionalFormatting sqref="L5:L6">
    <cfRule type="cellIs" dxfId="50" priority="10" operator="lessThan">
      <formula>0.8</formula>
    </cfRule>
    <cfRule type="cellIs" dxfId="49" priority="11" operator="greaterThan">
      <formula>0.8</formula>
    </cfRule>
  </conditionalFormatting>
  <conditionalFormatting sqref="M5:M6">
    <cfRule type="cellIs" dxfId="48" priority="8" operator="lessThan">
      <formula>0.8</formula>
    </cfRule>
    <cfRule type="cellIs" dxfId="47" priority="9" operator="greaterThan">
      <formula>0.8</formula>
    </cfRule>
  </conditionalFormatting>
  <conditionalFormatting sqref="H6 J5:XFD5 A5:H5">
    <cfRule type="cellIs" dxfId="46" priority="4" operator="greaterThan">
      <formula>0.7999</formula>
    </cfRule>
    <cfRule type="cellIs" dxfId="45" priority="5" operator="greaterThan">
      <formula>80</formula>
    </cfRule>
  </conditionalFormatting>
  <conditionalFormatting sqref="H6 B5:H5">
    <cfRule type="cellIs" dxfId="44" priority="1" operator="lessThan">
      <formula>0.8</formula>
    </cfRule>
    <cfRule type="cellIs" dxfId="43" priority="3" operator="greaterThan">
      <formula>0.55</formula>
    </cfRule>
  </conditionalFormatting>
  <conditionalFormatting sqref="K5:N5">
    <cfRule type="cellIs" dxfId="42" priority="2" operator="greaterThan">
      <formula>0.55</formula>
    </cfRule>
  </conditionalFormatting>
  <printOptions horizontalCentered="1" verticalCentered="1"/>
  <pageMargins left="0.7" right="0.7" top="0.75" bottom="0.75" header="0.3" footer="0.3"/>
  <pageSetup paperSize="9" scale="140" orientation="landscape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79A76-146A-4F16-88EF-48CA9351A24F}">
  <dimension ref="A1:Y21"/>
  <sheetViews>
    <sheetView zoomScale="110" zoomScaleNormal="110" workbookViewId="0">
      <selection sqref="A1:Y7"/>
    </sheetView>
  </sheetViews>
  <sheetFormatPr defaultRowHeight="14.25" x14ac:dyDescent="0.2"/>
  <cols>
    <col min="1" max="1" width="14.28515625" style="241" customWidth="1"/>
    <col min="2" max="2" width="10.5703125" style="241" bestFit="1" customWidth="1"/>
    <col min="3" max="3" width="10.5703125" style="241" hidden="1" customWidth="1"/>
    <col min="4" max="4" width="11.7109375" style="241" hidden="1" customWidth="1"/>
    <col min="5" max="5" width="10.85546875" style="241" bestFit="1" customWidth="1"/>
    <col min="6" max="6" width="11.7109375" style="241" bestFit="1" customWidth="1"/>
    <col min="7" max="7" width="11.7109375" style="280" hidden="1" customWidth="1"/>
    <col min="8" max="8" width="13" style="241" hidden="1" customWidth="1"/>
    <col min="9" max="9" width="9.5703125" style="5" hidden="1" customWidth="1"/>
    <col min="10" max="10" width="13" style="241" hidden="1" customWidth="1"/>
    <col min="11" max="11" width="10" style="241" hidden="1" customWidth="1"/>
    <col min="12" max="13" width="11" style="241" hidden="1" customWidth="1"/>
    <col min="14" max="14" width="7" style="241" hidden="1" customWidth="1"/>
    <col min="15" max="24" width="0" style="241" hidden="1" customWidth="1"/>
    <col min="25" max="25" width="14.42578125" style="241" customWidth="1"/>
    <col min="26" max="16384" width="9.140625" style="241"/>
  </cols>
  <sheetData>
    <row r="1" spans="1:25" ht="15" customHeight="1" x14ac:dyDescent="0.2">
      <c r="A1" s="336" t="s">
        <v>136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</row>
    <row r="2" spans="1:25" ht="15" x14ac:dyDescent="0.2">
      <c r="A2" s="273" t="s">
        <v>6</v>
      </c>
      <c r="B2" s="272" t="s">
        <v>0</v>
      </c>
      <c r="C2" s="275" t="s">
        <v>1</v>
      </c>
      <c r="D2" s="277" t="s">
        <v>2</v>
      </c>
      <c r="E2" s="279" t="s">
        <v>3</v>
      </c>
      <c r="F2" s="272" t="s">
        <v>4</v>
      </c>
      <c r="G2" s="277" t="s">
        <v>5</v>
      </c>
      <c r="H2" s="293" t="s">
        <v>123</v>
      </c>
      <c r="I2" s="299" t="s">
        <v>6</v>
      </c>
      <c r="Y2" s="308" t="s">
        <v>123</v>
      </c>
    </row>
    <row r="3" spans="1:25" x14ac:dyDescent="0.2">
      <c r="A3" s="247" t="s">
        <v>8</v>
      </c>
      <c r="B3" s="228">
        <f t="shared" ref="B3:G3" si="0">B17</f>
        <v>122</v>
      </c>
      <c r="C3" s="228">
        <f t="shared" si="0"/>
        <v>423</v>
      </c>
      <c r="D3" s="228">
        <f t="shared" si="0"/>
        <v>106</v>
      </c>
      <c r="E3" s="228">
        <f t="shared" si="0"/>
        <v>139</v>
      </c>
      <c r="F3" s="228">
        <f t="shared" si="0"/>
        <v>119</v>
      </c>
      <c r="G3" s="283">
        <f t="shared" si="0"/>
        <v>438</v>
      </c>
      <c r="H3" s="294">
        <f>SUM(B3:G3)</f>
        <v>1347</v>
      </c>
      <c r="I3" s="8">
        <f>B3+E3+F3</f>
        <v>380</v>
      </c>
      <c r="Y3" s="8">
        <f>B3+E3+F3</f>
        <v>380</v>
      </c>
    </row>
    <row r="4" spans="1:25" x14ac:dyDescent="0.2">
      <c r="A4" s="248" t="s">
        <v>9</v>
      </c>
      <c r="B4" s="228">
        <v>15</v>
      </c>
      <c r="C4" s="228">
        <v>17</v>
      </c>
      <c r="D4" s="228">
        <v>23</v>
      </c>
      <c r="E4" s="228">
        <v>33</v>
      </c>
      <c r="F4" s="228">
        <v>27</v>
      </c>
      <c r="G4" s="283">
        <v>26</v>
      </c>
      <c r="H4" s="294">
        <f>SUM(B4:G4)</f>
        <v>141</v>
      </c>
      <c r="I4" s="8">
        <f>B4+E4+F4</f>
        <v>75</v>
      </c>
      <c r="J4" s="297" t="s">
        <v>6</v>
      </c>
      <c r="K4" s="224" t="s">
        <v>0</v>
      </c>
      <c r="L4" s="272" t="s">
        <v>3</v>
      </c>
      <c r="M4" s="272" t="s">
        <v>4</v>
      </c>
      <c r="N4" s="226" t="s">
        <v>10</v>
      </c>
      <c r="Y4" s="8">
        <f>B4+E4+F4</f>
        <v>75</v>
      </c>
    </row>
    <row r="5" spans="1:25" x14ac:dyDescent="0.2">
      <c r="A5" s="247" t="s">
        <v>96</v>
      </c>
      <c r="B5" s="231">
        <f t="shared" ref="B5:Y5" si="1">1-(B4/B3)</f>
        <v>0.87704918032786883</v>
      </c>
      <c r="C5" s="231">
        <f t="shared" si="1"/>
        <v>0.95981087470449178</v>
      </c>
      <c r="D5" s="231">
        <f t="shared" si="1"/>
        <v>0.78301886792452824</v>
      </c>
      <c r="E5" s="231">
        <f t="shared" si="1"/>
        <v>0.76258992805755399</v>
      </c>
      <c r="F5" s="231">
        <f t="shared" si="1"/>
        <v>0.77310924369747902</v>
      </c>
      <c r="G5" s="284">
        <f t="shared" si="1"/>
        <v>0.94063926940639275</v>
      </c>
      <c r="H5" s="295">
        <f t="shared" si="1"/>
        <v>0.89532293986636968</v>
      </c>
      <c r="I5" s="295">
        <f t="shared" si="1"/>
        <v>0.80263157894736836</v>
      </c>
      <c r="J5" s="295" t="e">
        <f t="shared" si="1"/>
        <v>#VALUE!</v>
      </c>
      <c r="K5" s="295" t="e">
        <f t="shared" si="1"/>
        <v>#VALUE!</v>
      </c>
      <c r="L5" s="295" t="e">
        <f t="shared" si="1"/>
        <v>#VALUE!</v>
      </c>
      <c r="M5" s="295" t="e">
        <f t="shared" si="1"/>
        <v>#VALUE!</v>
      </c>
      <c r="N5" s="295" t="e">
        <f t="shared" si="1"/>
        <v>#VALUE!</v>
      </c>
      <c r="O5" s="295" t="e">
        <f t="shared" si="1"/>
        <v>#DIV/0!</v>
      </c>
      <c r="P5" s="295" t="e">
        <f t="shared" si="1"/>
        <v>#DIV/0!</v>
      </c>
      <c r="Q5" s="295" t="e">
        <f t="shared" si="1"/>
        <v>#DIV/0!</v>
      </c>
      <c r="R5" s="295" t="e">
        <f t="shared" si="1"/>
        <v>#DIV/0!</v>
      </c>
      <c r="S5" s="295" t="e">
        <f t="shared" si="1"/>
        <v>#DIV/0!</v>
      </c>
      <c r="T5" s="295" t="e">
        <f t="shared" si="1"/>
        <v>#DIV/0!</v>
      </c>
      <c r="U5" s="295" t="e">
        <f t="shared" si="1"/>
        <v>#DIV/0!</v>
      </c>
      <c r="V5" s="295" t="e">
        <f t="shared" si="1"/>
        <v>#DIV/0!</v>
      </c>
      <c r="W5" s="295" t="e">
        <f t="shared" si="1"/>
        <v>#DIV/0!</v>
      </c>
      <c r="X5" s="295" t="e">
        <f t="shared" si="1"/>
        <v>#DIV/0!</v>
      </c>
      <c r="Y5" s="231">
        <f t="shared" si="1"/>
        <v>0.80263157894736836</v>
      </c>
    </row>
    <row r="6" spans="1:25" s="18" customFormat="1" ht="38.25" x14ac:dyDescent="0.25">
      <c r="A6" s="303" t="s">
        <v>97</v>
      </c>
      <c r="B6" s="231">
        <v>0.55000000000000004</v>
      </c>
      <c r="C6" s="243">
        <v>0.91</v>
      </c>
      <c r="D6" s="243">
        <v>0.8</v>
      </c>
      <c r="E6" s="233">
        <v>0.58000000000000007</v>
      </c>
      <c r="F6" s="231">
        <v>0.56999999999999995</v>
      </c>
      <c r="G6" s="243">
        <v>0.88</v>
      </c>
      <c r="H6" s="295">
        <f>AVERAGE(B6:G6)</f>
        <v>0.71499999999999997</v>
      </c>
      <c r="I6" s="311">
        <f>(B6+E6+F6)/3</f>
        <v>0.56666666666666676</v>
      </c>
      <c r="J6" s="304" t="s">
        <v>97</v>
      </c>
      <c r="K6" s="231">
        <v>0.55000000000000004</v>
      </c>
      <c r="L6" s="233">
        <v>0.58000000000000007</v>
      </c>
      <c r="M6" s="231">
        <v>0.57000000000000006</v>
      </c>
      <c r="N6" s="232">
        <v>0.56666666666666676</v>
      </c>
      <c r="Y6" s="311">
        <f>(B6+E6+F6)/3</f>
        <v>0.56666666666666676</v>
      </c>
    </row>
    <row r="7" spans="1:25" ht="15" thickBot="1" x14ac:dyDescent="0.25">
      <c r="A7" s="249" t="s">
        <v>98</v>
      </c>
      <c r="B7" s="3">
        <v>0.8</v>
      </c>
      <c r="C7" s="3">
        <v>0.8</v>
      </c>
      <c r="D7" s="3">
        <v>0.8</v>
      </c>
      <c r="E7" s="3">
        <v>0.8</v>
      </c>
      <c r="F7" s="3">
        <v>0.8</v>
      </c>
      <c r="G7" s="286">
        <v>0.8</v>
      </c>
      <c r="H7" s="296">
        <v>0.8</v>
      </c>
      <c r="I7" s="3">
        <v>0.8</v>
      </c>
      <c r="J7" s="298" t="s">
        <v>98</v>
      </c>
      <c r="K7" s="235">
        <v>0.8</v>
      </c>
      <c r="L7" s="235">
        <v>0.8</v>
      </c>
      <c r="M7" s="235">
        <v>0.8</v>
      </c>
      <c r="N7" s="235">
        <v>0.8</v>
      </c>
      <c r="Y7" s="3">
        <v>0.8</v>
      </c>
    </row>
    <row r="8" spans="1:25" ht="15" hidden="1" x14ac:dyDescent="0.2">
      <c r="A8" s="216" t="s">
        <v>99</v>
      </c>
      <c r="B8" s="272"/>
      <c r="C8" s="275"/>
      <c r="D8" s="277"/>
      <c r="E8" s="279"/>
      <c r="F8" s="272"/>
      <c r="G8" s="277"/>
      <c r="H8" s="216" t="s">
        <v>10</v>
      </c>
      <c r="J8" s="100"/>
      <c r="K8" s="100"/>
      <c r="L8" s="100"/>
    </row>
    <row r="9" spans="1:25" x14ac:dyDescent="0.2">
      <c r="A9" s="12">
        <v>186002998</v>
      </c>
      <c r="B9" s="12">
        <v>2</v>
      </c>
      <c r="C9" s="12">
        <v>0</v>
      </c>
      <c r="D9" s="12">
        <v>0</v>
      </c>
      <c r="E9" s="12">
        <v>14</v>
      </c>
      <c r="F9" s="12">
        <v>14</v>
      </c>
      <c r="G9" s="305">
        <v>30</v>
      </c>
      <c r="H9" s="12">
        <f t="shared" ref="H9:H16" si="2">SUM(B9:G9)</f>
        <v>60</v>
      </c>
      <c r="J9" s="100"/>
    </row>
    <row r="10" spans="1:25" x14ac:dyDescent="0.2">
      <c r="A10" s="306">
        <v>186015032</v>
      </c>
      <c r="B10" s="306">
        <v>19</v>
      </c>
      <c r="C10" s="306">
        <v>208</v>
      </c>
      <c r="D10" s="306">
        <v>38</v>
      </c>
      <c r="E10" s="306">
        <v>0</v>
      </c>
      <c r="F10" s="306">
        <v>3</v>
      </c>
      <c r="G10" s="307">
        <v>0</v>
      </c>
      <c r="H10" s="306">
        <f t="shared" si="2"/>
        <v>268</v>
      </c>
      <c r="J10" s="100"/>
    </row>
    <row r="11" spans="1:25" x14ac:dyDescent="0.2">
      <c r="A11" s="306">
        <v>186015033</v>
      </c>
      <c r="B11" s="306">
        <v>25</v>
      </c>
      <c r="C11" s="306">
        <v>197</v>
      </c>
      <c r="D11" s="306">
        <v>50</v>
      </c>
      <c r="E11" s="306">
        <v>8</v>
      </c>
      <c r="F11" s="306">
        <v>2</v>
      </c>
      <c r="G11" s="307">
        <v>0</v>
      </c>
      <c r="H11" s="306">
        <f t="shared" si="2"/>
        <v>282</v>
      </c>
      <c r="J11" s="100"/>
    </row>
    <row r="12" spans="1:25" x14ac:dyDescent="0.2">
      <c r="A12" s="236">
        <v>186015034</v>
      </c>
      <c r="B12" s="8">
        <v>4</v>
      </c>
      <c r="C12" s="8">
        <v>1</v>
      </c>
      <c r="D12" s="8">
        <v>7</v>
      </c>
      <c r="E12" s="8">
        <v>4</v>
      </c>
      <c r="F12" s="8">
        <v>0</v>
      </c>
      <c r="G12" s="287">
        <v>0</v>
      </c>
      <c r="H12" s="8">
        <f t="shared" si="2"/>
        <v>16</v>
      </c>
      <c r="J12" s="100"/>
    </row>
    <row r="13" spans="1:25" x14ac:dyDescent="0.2">
      <c r="A13" s="236">
        <v>186015053</v>
      </c>
      <c r="B13" s="8">
        <v>1</v>
      </c>
      <c r="C13" s="8">
        <v>4</v>
      </c>
      <c r="D13" s="5">
        <v>3</v>
      </c>
      <c r="E13" s="8">
        <v>0</v>
      </c>
      <c r="F13" s="8">
        <v>0</v>
      </c>
      <c r="G13" s="287">
        <v>0</v>
      </c>
      <c r="H13" s="8">
        <f t="shared" si="2"/>
        <v>8</v>
      </c>
      <c r="J13" s="100"/>
    </row>
    <row r="14" spans="1:25" x14ac:dyDescent="0.2">
      <c r="A14" s="12">
        <v>186017003</v>
      </c>
      <c r="B14" s="12">
        <v>3</v>
      </c>
      <c r="C14" s="12">
        <v>1</v>
      </c>
      <c r="D14" s="12">
        <v>4</v>
      </c>
      <c r="E14" s="12">
        <v>17</v>
      </c>
      <c r="F14" s="12">
        <v>25</v>
      </c>
      <c r="G14" s="305">
        <v>67</v>
      </c>
      <c r="H14" s="12">
        <f t="shared" si="2"/>
        <v>117</v>
      </c>
      <c r="J14" s="100"/>
    </row>
    <row r="15" spans="1:25" x14ac:dyDescent="0.2">
      <c r="A15" s="8">
        <v>186018007</v>
      </c>
      <c r="B15" s="8">
        <v>7</v>
      </c>
      <c r="C15" s="8">
        <v>6</v>
      </c>
      <c r="D15" s="8">
        <v>0</v>
      </c>
      <c r="E15" s="8">
        <v>3</v>
      </c>
      <c r="F15" s="8">
        <v>1</v>
      </c>
      <c r="G15" s="287">
        <v>0</v>
      </c>
      <c r="H15" s="8">
        <f t="shared" si="2"/>
        <v>17</v>
      </c>
      <c r="J15" s="100"/>
    </row>
    <row r="16" spans="1:25" x14ac:dyDescent="0.2">
      <c r="A16" s="12">
        <v>186299800</v>
      </c>
      <c r="B16" s="12">
        <v>61</v>
      </c>
      <c r="C16" s="12">
        <v>6</v>
      </c>
      <c r="D16" s="12">
        <v>4</v>
      </c>
      <c r="E16" s="12">
        <v>93</v>
      </c>
      <c r="F16" s="12">
        <v>74</v>
      </c>
      <c r="G16" s="305">
        <v>341</v>
      </c>
      <c r="H16" s="12">
        <f t="shared" si="2"/>
        <v>579</v>
      </c>
      <c r="J16" s="100"/>
    </row>
    <row r="17" spans="1:12" ht="15" x14ac:dyDescent="0.25">
      <c r="A17" s="216" t="s">
        <v>10</v>
      </c>
      <c r="B17" s="216">
        <f t="shared" ref="B17:H17" si="3">SUM(B9:B16)</f>
        <v>122</v>
      </c>
      <c r="C17" s="216">
        <f t="shared" si="3"/>
        <v>423</v>
      </c>
      <c r="D17" s="216">
        <f t="shared" si="3"/>
        <v>106</v>
      </c>
      <c r="E17" s="216">
        <f t="shared" si="3"/>
        <v>139</v>
      </c>
      <c r="F17" s="216">
        <f t="shared" si="3"/>
        <v>119</v>
      </c>
      <c r="G17" s="288">
        <f t="shared" si="3"/>
        <v>438</v>
      </c>
      <c r="H17" s="216">
        <f t="shared" si="3"/>
        <v>1347</v>
      </c>
      <c r="J17" s="100"/>
      <c r="K17" s="100"/>
      <c r="L17" s="100"/>
    </row>
    <row r="21" spans="1:12" x14ac:dyDescent="0.2">
      <c r="E21" s="242"/>
    </row>
  </sheetData>
  <mergeCells count="1">
    <mergeCell ref="A1:Y1"/>
  </mergeCells>
  <conditionalFormatting sqref="H6 B6 D6:F6 B5:Y5">
    <cfRule type="cellIs" dxfId="41" priority="14" operator="lessThan">
      <formula>0.8</formula>
    </cfRule>
    <cfRule type="cellIs" dxfId="40" priority="15" operator="greaterThan">
      <formula>0.8</formula>
    </cfRule>
  </conditionalFormatting>
  <conditionalFormatting sqref="N6">
    <cfRule type="cellIs" dxfId="39" priority="6" operator="lessThan">
      <formula>0.8</formula>
    </cfRule>
    <cfRule type="cellIs" dxfId="38" priority="7" operator="greaterThan">
      <formula>0.8</formula>
    </cfRule>
  </conditionalFormatting>
  <conditionalFormatting sqref="K6">
    <cfRule type="cellIs" dxfId="37" priority="12" operator="lessThan">
      <formula>0.8</formula>
    </cfRule>
    <cfRule type="cellIs" dxfId="36" priority="13" stopIfTrue="1" operator="greaterThan">
      <formula>0.8</formula>
    </cfRule>
  </conditionalFormatting>
  <conditionalFormatting sqref="L6">
    <cfRule type="cellIs" dxfId="35" priority="10" operator="lessThan">
      <formula>0.8</formula>
    </cfRule>
    <cfRule type="cellIs" dxfId="34" priority="11" operator="greaterThan">
      <formula>0.8</formula>
    </cfRule>
  </conditionalFormatting>
  <conditionalFormatting sqref="M6">
    <cfRule type="cellIs" dxfId="33" priority="8" operator="lessThan">
      <formula>0.8</formula>
    </cfRule>
    <cfRule type="cellIs" dxfId="32" priority="9" operator="greaterThan">
      <formula>0.8</formula>
    </cfRule>
  </conditionalFormatting>
  <conditionalFormatting sqref="H6 A5:XFD5">
    <cfRule type="cellIs" dxfId="31" priority="4" operator="greaterThan">
      <formula>0.7999</formula>
    </cfRule>
    <cfRule type="cellIs" dxfId="30" priority="5" operator="greaterThan">
      <formula>80</formula>
    </cfRule>
  </conditionalFormatting>
  <conditionalFormatting sqref="H6 B5:Y5">
    <cfRule type="cellIs" dxfId="29" priority="1" operator="lessThan">
      <formula>0.8</formula>
    </cfRule>
    <cfRule type="cellIs" dxfId="28" priority="3" operator="greaterThan">
      <formula>0.55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FC66-CAFC-4635-81E7-4871FA14B3E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B8ECC-32B1-48AA-B4CB-0A46D591FE00}">
  <dimension ref="A1:Q24"/>
  <sheetViews>
    <sheetView workbookViewId="0">
      <selection activeCell="G30" sqref="G30"/>
    </sheetView>
  </sheetViews>
  <sheetFormatPr defaultRowHeight="14.25" x14ac:dyDescent="0.2"/>
  <cols>
    <col min="1" max="1" width="13.42578125" style="241" bestFit="1" customWidth="1"/>
    <col min="2" max="2" width="12" style="241" bestFit="1" customWidth="1"/>
    <col min="3" max="3" width="11.7109375" style="241" customWidth="1"/>
    <col min="4" max="4" width="12" style="241" bestFit="1" customWidth="1"/>
    <col min="5" max="5" width="12.5703125" style="241" bestFit="1" customWidth="1"/>
    <col min="6" max="7" width="12" style="241" bestFit="1" customWidth="1"/>
    <col min="8" max="8" width="11.7109375" style="241" customWidth="1"/>
    <col min="9" max="9" width="12.5703125" style="241" bestFit="1" customWidth="1"/>
    <col min="10" max="10" width="7" style="241" bestFit="1" customWidth="1"/>
    <col min="11" max="11" width="8" style="241" bestFit="1" customWidth="1"/>
    <col min="12" max="12" width="9.140625" style="241"/>
    <col min="13" max="13" width="8.85546875" style="241" bestFit="1" customWidth="1"/>
    <col min="14" max="14" width="9.85546875" style="241" bestFit="1" customWidth="1"/>
    <col min="15" max="16" width="10.85546875" style="241" bestFit="1" customWidth="1"/>
    <col min="17" max="17" width="7" style="241" bestFit="1" customWidth="1"/>
    <col min="18" max="16384" width="9.140625" style="241"/>
  </cols>
  <sheetData>
    <row r="1" spans="1:17" ht="18" customHeight="1" x14ac:dyDescent="0.2">
      <c r="A1" s="347" t="s">
        <v>114</v>
      </c>
      <c r="B1" s="347"/>
      <c r="C1" s="347"/>
      <c r="D1" s="347"/>
      <c r="E1" s="347"/>
      <c r="F1" s="347"/>
      <c r="G1" s="347"/>
      <c r="H1" s="347"/>
      <c r="I1" s="347"/>
      <c r="J1" s="347"/>
    </row>
    <row r="2" spans="1:17" x14ac:dyDescent="0.2">
      <c r="A2" s="338" t="s">
        <v>6</v>
      </c>
      <c r="B2" s="341" t="s">
        <v>0</v>
      </c>
      <c r="C2" s="341"/>
      <c r="D2" s="4" t="s">
        <v>1</v>
      </c>
      <c r="E2" s="4" t="s">
        <v>2</v>
      </c>
      <c r="F2" s="251" t="s">
        <v>3</v>
      </c>
      <c r="G2" s="341" t="s">
        <v>4</v>
      </c>
      <c r="H2" s="341"/>
      <c r="I2" s="4" t="s">
        <v>5</v>
      </c>
      <c r="J2" s="348" t="s">
        <v>10</v>
      </c>
    </row>
    <row r="3" spans="1:17" x14ac:dyDescent="0.2">
      <c r="A3" s="339"/>
      <c r="B3" s="251" t="s">
        <v>106</v>
      </c>
      <c r="C3" s="251" t="s">
        <v>107</v>
      </c>
      <c r="D3" s="4" t="s">
        <v>109</v>
      </c>
      <c r="E3" s="4" t="s">
        <v>109</v>
      </c>
      <c r="F3" s="251" t="s">
        <v>106</v>
      </c>
      <c r="G3" s="251" t="s">
        <v>106</v>
      </c>
      <c r="H3" s="251" t="s">
        <v>107</v>
      </c>
      <c r="I3" s="4" t="s">
        <v>109</v>
      </c>
      <c r="J3" s="349"/>
    </row>
    <row r="4" spans="1:17" s="246" customFormat="1" ht="24" x14ac:dyDescent="0.2">
      <c r="A4" s="340"/>
      <c r="B4" s="244" t="s">
        <v>104</v>
      </c>
      <c r="C4" s="244" t="s">
        <v>105</v>
      </c>
      <c r="D4" s="245" t="s">
        <v>108</v>
      </c>
      <c r="E4" s="245" t="s">
        <v>108</v>
      </c>
      <c r="F4" s="244" t="s">
        <v>108</v>
      </c>
      <c r="G4" s="244" t="s">
        <v>104</v>
      </c>
      <c r="H4" s="244" t="s">
        <v>105</v>
      </c>
      <c r="I4" s="245" t="s">
        <v>108</v>
      </c>
      <c r="J4" s="350"/>
    </row>
    <row r="5" spans="1:17" x14ac:dyDescent="0.2">
      <c r="A5" s="247" t="s">
        <v>8</v>
      </c>
      <c r="B5" s="228">
        <f>B19</f>
        <v>10</v>
      </c>
      <c r="C5" s="228">
        <f>C19</f>
        <v>51</v>
      </c>
      <c r="D5" s="228">
        <f t="shared" ref="D5:I5" si="0">D19</f>
        <v>249</v>
      </c>
      <c r="E5" s="228">
        <f t="shared" si="0"/>
        <v>81</v>
      </c>
      <c r="F5" s="228">
        <f t="shared" si="0"/>
        <v>95</v>
      </c>
      <c r="G5" s="228">
        <f t="shared" si="0"/>
        <v>19</v>
      </c>
      <c r="H5" s="228">
        <f t="shared" si="0"/>
        <v>50</v>
      </c>
      <c r="I5" s="228">
        <f t="shared" si="0"/>
        <v>285</v>
      </c>
      <c r="J5" s="228">
        <f>C5+F5+G5</f>
        <v>165</v>
      </c>
      <c r="K5" s="241">
        <f>C5+F5+H5</f>
        <v>196</v>
      </c>
    </row>
    <row r="6" spans="1:17" x14ac:dyDescent="0.2">
      <c r="A6" s="248" t="s">
        <v>9</v>
      </c>
      <c r="B6" s="228">
        <v>10</v>
      </c>
      <c r="C6" s="228">
        <v>13</v>
      </c>
      <c r="D6" s="228">
        <v>21</v>
      </c>
      <c r="E6" s="228">
        <v>20</v>
      </c>
      <c r="F6" s="228">
        <v>22</v>
      </c>
      <c r="G6" s="228">
        <v>9</v>
      </c>
      <c r="H6" s="228">
        <v>18</v>
      </c>
      <c r="I6" s="228">
        <v>35</v>
      </c>
      <c r="J6" s="228">
        <f>B6+F6+G6</f>
        <v>41</v>
      </c>
      <c r="K6" s="241">
        <f>C6+F6+H6</f>
        <v>53</v>
      </c>
      <c r="M6" s="223" t="s">
        <v>6</v>
      </c>
      <c r="N6" s="224" t="s">
        <v>0</v>
      </c>
      <c r="O6" s="251" t="s">
        <v>3</v>
      </c>
      <c r="P6" s="251" t="s">
        <v>4</v>
      </c>
      <c r="Q6" s="226" t="s">
        <v>10</v>
      </c>
    </row>
    <row r="7" spans="1:17" x14ac:dyDescent="0.2">
      <c r="A7" s="247" t="s">
        <v>96</v>
      </c>
      <c r="B7" s="231">
        <f t="shared" ref="B7:I7" si="1">1-(B6/B5)</f>
        <v>0</v>
      </c>
      <c r="C7" s="231">
        <f t="shared" si="1"/>
        <v>0.74509803921568629</v>
      </c>
      <c r="D7" s="238">
        <f t="shared" si="1"/>
        <v>0.9156626506024097</v>
      </c>
      <c r="E7" s="231">
        <f t="shared" si="1"/>
        <v>0.75308641975308643</v>
      </c>
      <c r="F7" s="231">
        <f t="shared" si="1"/>
        <v>0.76842105263157889</v>
      </c>
      <c r="G7" s="231">
        <f t="shared" si="1"/>
        <v>0.52631578947368429</v>
      </c>
      <c r="H7" s="231">
        <f t="shared" si="1"/>
        <v>0.64</v>
      </c>
      <c r="I7" s="238">
        <f t="shared" si="1"/>
        <v>0.87719298245614041</v>
      </c>
      <c r="J7" s="231">
        <f>AVERAGE(C7,F7,H7)</f>
        <v>0.7178396972824217</v>
      </c>
      <c r="K7" s="242">
        <f>(B7+F7+G7)/3</f>
        <v>0.43157894736842106</v>
      </c>
      <c r="M7" s="227" t="s">
        <v>96</v>
      </c>
      <c r="N7" s="231">
        <f>C7</f>
        <v>0.74509803921568629</v>
      </c>
      <c r="O7" s="231">
        <f>F7</f>
        <v>0.76842105263157889</v>
      </c>
      <c r="P7" s="231">
        <f>H7</f>
        <v>0.64</v>
      </c>
      <c r="Q7" s="232">
        <f>AVERAGE(N7:P7)</f>
        <v>0.7178396972824217</v>
      </c>
    </row>
    <row r="8" spans="1:17" ht="38.25" x14ac:dyDescent="0.2">
      <c r="A8" s="248" t="s">
        <v>97</v>
      </c>
      <c r="B8" s="231">
        <f>[1]EVALS20015!C5</f>
        <v>0.55000000000000004</v>
      </c>
      <c r="C8" s="231">
        <v>0.55000000000000004</v>
      </c>
      <c r="D8" s="243">
        <f>[1]EVALS20015!D5</f>
        <v>0.91</v>
      </c>
      <c r="E8" s="243">
        <f>[1]EVALS20015!E5</f>
        <v>0.8</v>
      </c>
      <c r="F8" s="233">
        <f>[1]EVALS20015!F5</f>
        <v>0.58000000000000007</v>
      </c>
      <c r="G8" s="231">
        <f>[1]EVALS20015!G5</f>
        <v>0.57000000000000006</v>
      </c>
      <c r="H8" s="231">
        <v>0.56999999999999995</v>
      </c>
      <c r="I8" s="243">
        <f>[1]EVALS20015!H5</f>
        <v>0.88</v>
      </c>
      <c r="J8" s="231">
        <f>AVERAGE(C8,D8,E8,H8,I8)</f>
        <v>0.74199999999999988</v>
      </c>
      <c r="K8" s="242">
        <f>(B8+F8+G8)/3</f>
        <v>0.56666666666666676</v>
      </c>
      <c r="M8" s="230" t="s">
        <v>97</v>
      </c>
      <c r="N8" s="231">
        <v>0.55000000000000004</v>
      </c>
      <c r="O8" s="233">
        <v>0.58000000000000007</v>
      </c>
      <c r="P8" s="231">
        <v>0.57000000000000006</v>
      </c>
      <c r="Q8" s="232">
        <v>0.56666666666666676</v>
      </c>
    </row>
    <row r="9" spans="1:17" ht="15" thickBot="1" x14ac:dyDescent="0.25">
      <c r="A9" s="249" t="s">
        <v>98</v>
      </c>
      <c r="B9" s="3">
        <v>0.8</v>
      </c>
      <c r="C9" s="3">
        <v>0.8</v>
      </c>
      <c r="D9" s="3">
        <v>0.8</v>
      </c>
      <c r="E9" s="3">
        <v>0.8</v>
      </c>
      <c r="F9" s="3">
        <v>0.8</v>
      </c>
      <c r="G9" s="3">
        <v>0.8</v>
      </c>
      <c r="H9" s="3">
        <v>0.8</v>
      </c>
      <c r="I9" s="3">
        <v>0.8</v>
      </c>
      <c r="J9" s="3">
        <v>0.8</v>
      </c>
      <c r="K9" s="242">
        <f>(B9+F9+G9)/3</f>
        <v>0.80000000000000016</v>
      </c>
      <c r="M9" s="234" t="s">
        <v>98</v>
      </c>
      <c r="N9" s="235">
        <v>0.8</v>
      </c>
      <c r="O9" s="235">
        <v>0.8</v>
      </c>
      <c r="P9" s="235">
        <v>0.8</v>
      </c>
      <c r="Q9" s="235">
        <v>0.8</v>
      </c>
    </row>
    <row r="10" spans="1:17" ht="15" x14ac:dyDescent="0.2">
      <c r="A10" s="216" t="s">
        <v>99</v>
      </c>
      <c r="B10" s="341" t="s">
        <v>0</v>
      </c>
      <c r="C10" s="341"/>
      <c r="D10" s="216" t="str">
        <f t="shared" ref="D10:J10" si="2">D2</f>
        <v>TE82882-9</v>
      </c>
      <c r="E10" s="216" t="str">
        <f t="shared" si="2"/>
        <v>TE82882-10</v>
      </c>
      <c r="F10" s="251" t="s">
        <v>3</v>
      </c>
      <c r="G10" s="341" t="s">
        <v>4</v>
      </c>
      <c r="H10" s="341"/>
      <c r="I10" s="216" t="str">
        <f t="shared" si="2"/>
        <v>TE82882-14</v>
      </c>
      <c r="J10" s="216" t="str">
        <f t="shared" si="2"/>
        <v>Total</v>
      </c>
      <c r="K10" s="100"/>
      <c r="L10" s="100"/>
      <c r="M10" s="100"/>
      <c r="N10" s="100"/>
      <c r="O10" s="100"/>
    </row>
    <row r="11" spans="1:17" x14ac:dyDescent="0.2">
      <c r="A11" s="8">
        <v>186002998</v>
      </c>
      <c r="B11" s="8">
        <v>1</v>
      </c>
      <c r="C11" s="8">
        <v>1</v>
      </c>
      <c r="D11" s="8">
        <v>4</v>
      </c>
      <c r="E11" s="8">
        <v>0</v>
      </c>
      <c r="F11" s="8">
        <v>10</v>
      </c>
      <c r="G11" s="8">
        <v>2</v>
      </c>
      <c r="H11" s="8">
        <v>10</v>
      </c>
      <c r="I11" s="8">
        <v>21</v>
      </c>
      <c r="J11" s="228">
        <f t="shared" ref="J11:J19" si="3">SUM(B11+F11+G11)</f>
        <v>13</v>
      </c>
      <c r="K11" s="100"/>
      <c r="L11" s="100"/>
      <c r="M11" s="100"/>
      <c r="N11" s="100"/>
      <c r="O11" s="100"/>
    </row>
    <row r="12" spans="1:17" x14ac:dyDescent="0.2">
      <c r="A12" s="236">
        <v>186015032</v>
      </c>
      <c r="B12" s="8">
        <v>0</v>
      </c>
      <c r="C12" s="8">
        <v>19</v>
      </c>
      <c r="D12" s="8">
        <v>126</v>
      </c>
      <c r="E12" s="8">
        <v>33</v>
      </c>
      <c r="F12" s="8">
        <v>6</v>
      </c>
      <c r="G12" s="8">
        <v>0</v>
      </c>
      <c r="H12" s="8">
        <v>3</v>
      </c>
      <c r="I12" s="8">
        <v>0</v>
      </c>
      <c r="J12" s="228">
        <f t="shared" si="3"/>
        <v>6</v>
      </c>
      <c r="K12" s="100"/>
      <c r="L12" s="100"/>
      <c r="M12" s="100"/>
      <c r="N12" s="100"/>
      <c r="O12" s="100"/>
    </row>
    <row r="13" spans="1:17" x14ac:dyDescent="0.2">
      <c r="A13" s="236">
        <v>186015033</v>
      </c>
      <c r="B13" s="8">
        <v>1</v>
      </c>
      <c r="C13" s="8">
        <v>22</v>
      </c>
      <c r="D13" s="8">
        <v>104</v>
      </c>
      <c r="E13" s="8">
        <v>35</v>
      </c>
      <c r="F13" s="8">
        <v>4</v>
      </c>
      <c r="G13" s="8">
        <v>0</v>
      </c>
      <c r="H13" s="8">
        <v>2</v>
      </c>
      <c r="I13" s="8">
        <v>1</v>
      </c>
      <c r="J13" s="228">
        <f t="shared" si="3"/>
        <v>5</v>
      </c>
      <c r="K13" s="100"/>
      <c r="L13" s="100"/>
      <c r="M13" s="100"/>
      <c r="N13" s="100"/>
      <c r="O13" s="100"/>
    </row>
    <row r="14" spans="1:17" x14ac:dyDescent="0.2">
      <c r="A14" s="236">
        <v>186015034</v>
      </c>
      <c r="B14" s="8">
        <v>0</v>
      </c>
      <c r="C14" s="8">
        <v>4</v>
      </c>
      <c r="D14" s="8">
        <v>1</v>
      </c>
      <c r="E14" s="8">
        <v>7</v>
      </c>
      <c r="F14" s="8">
        <v>0</v>
      </c>
      <c r="G14" s="8">
        <v>0</v>
      </c>
      <c r="H14" s="8">
        <v>0</v>
      </c>
      <c r="I14" s="8">
        <v>0</v>
      </c>
      <c r="J14" s="228">
        <f t="shared" si="3"/>
        <v>0</v>
      </c>
      <c r="K14" s="100"/>
      <c r="L14" s="100"/>
      <c r="M14" s="100"/>
      <c r="N14" s="100"/>
      <c r="O14" s="100"/>
    </row>
    <row r="15" spans="1:17" x14ac:dyDescent="0.2">
      <c r="A15" s="236">
        <v>186015053</v>
      </c>
      <c r="B15" s="8">
        <v>0</v>
      </c>
      <c r="C15" s="8">
        <v>0</v>
      </c>
      <c r="D15" s="8">
        <v>1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228">
        <f t="shared" si="3"/>
        <v>0</v>
      </c>
      <c r="K15" s="100"/>
      <c r="L15" s="100"/>
      <c r="M15" s="100"/>
      <c r="N15" s="100"/>
      <c r="O15" s="100"/>
    </row>
    <row r="16" spans="1:17" x14ac:dyDescent="0.2">
      <c r="A16" s="8">
        <v>186017003</v>
      </c>
      <c r="B16" s="8">
        <v>1</v>
      </c>
      <c r="C16" s="8">
        <v>3</v>
      </c>
      <c r="D16" s="8">
        <v>5</v>
      </c>
      <c r="E16" s="8">
        <v>3</v>
      </c>
      <c r="F16" s="8">
        <v>16</v>
      </c>
      <c r="G16" s="8">
        <v>6</v>
      </c>
      <c r="H16" s="8">
        <v>12</v>
      </c>
      <c r="I16" s="8">
        <v>76</v>
      </c>
      <c r="J16" s="228">
        <f t="shared" si="3"/>
        <v>23</v>
      </c>
      <c r="K16" s="100"/>
      <c r="L16" s="100"/>
      <c r="M16" s="100"/>
      <c r="N16" s="100"/>
      <c r="O16" s="100"/>
    </row>
    <row r="17" spans="1:15" x14ac:dyDescent="0.2">
      <c r="A17" s="8">
        <v>186018007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228">
        <f t="shared" si="3"/>
        <v>0</v>
      </c>
      <c r="K17" s="100"/>
      <c r="L17" s="100"/>
      <c r="M17" s="100"/>
      <c r="N17" s="100"/>
      <c r="O17" s="100"/>
    </row>
    <row r="18" spans="1:15" x14ac:dyDescent="0.2">
      <c r="A18" s="11">
        <v>186299800</v>
      </c>
      <c r="B18" s="11">
        <v>7</v>
      </c>
      <c r="C18" s="11">
        <v>2</v>
      </c>
      <c r="D18" s="11">
        <v>8</v>
      </c>
      <c r="E18" s="11">
        <v>3</v>
      </c>
      <c r="F18" s="11">
        <v>59</v>
      </c>
      <c r="G18" s="11">
        <v>11</v>
      </c>
      <c r="H18" s="11">
        <v>23</v>
      </c>
      <c r="I18" s="11">
        <v>187</v>
      </c>
      <c r="J18" s="228">
        <f t="shared" si="3"/>
        <v>77</v>
      </c>
      <c r="K18" s="100"/>
      <c r="L18" s="100"/>
      <c r="M18" s="100"/>
      <c r="N18" s="100"/>
      <c r="O18" s="100"/>
    </row>
    <row r="19" spans="1:15" ht="15" x14ac:dyDescent="0.2">
      <c r="A19" s="216" t="s">
        <v>10</v>
      </c>
      <c r="B19" s="216">
        <f>SUM(B11:B18)</f>
        <v>10</v>
      </c>
      <c r="C19" s="216">
        <f>SUM(C11:C18)</f>
        <v>51</v>
      </c>
      <c r="D19" s="216">
        <f t="shared" ref="D19:I19" si="4">SUM(D11:D18)</f>
        <v>249</v>
      </c>
      <c r="E19" s="216">
        <f t="shared" si="4"/>
        <v>81</v>
      </c>
      <c r="F19" s="216">
        <f t="shared" si="4"/>
        <v>95</v>
      </c>
      <c r="G19" s="216">
        <f t="shared" si="4"/>
        <v>19</v>
      </c>
      <c r="H19" s="216">
        <f t="shared" si="4"/>
        <v>50</v>
      </c>
      <c r="I19" s="216">
        <f t="shared" si="4"/>
        <v>285</v>
      </c>
      <c r="J19" s="250">
        <f t="shared" si="3"/>
        <v>124</v>
      </c>
      <c r="K19" s="100"/>
      <c r="L19" s="100"/>
      <c r="M19" s="100"/>
      <c r="N19" s="100"/>
      <c r="O19" s="100"/>
    </row>
    <row r="22" spans="1:15" x14ac:dyDescent="0.2">
      <c r="F22" s="241">
        <f>32+63</f>
        <v>95</v>
      </c>
    </row>
    <row r="23" spans="1:15" x14ac:dyDescent="0.2">
      <c r="F23" s="241">
        <f>8+14</f>
        <v>22</v>
      </c>
    </row>
    <row r="24" spans="1:15" x14ac:dyDescent="0.2">
      <c r="F24" s="242">
        <f>1-(F23/F22)</f>
        <v>0.76842105263157889</v>
      </c>
    </row>
  </sheetData>
  <mergeCells count="7">
    <mergeCell ref="B10:C10"/>
    <mergeCell ref="G10:H10"/>
    <mergeCell ref="A1:J1"/>
    <mergeCell ref="A2:A4"/>
    <mergeCell ref="B2:C2"/>
    <mergeCell ref="G2:H2"/>
    <mergeCell ref="J2:J4"/>
  </mergeCells>
  <conditionalFormatting sqref="B8:C8 J8 B7:J7 E8:H8">
    <cfRule type="cellIs" dxfId="27" priority="14" operator="lessThan">
      <formula>0.8</formula>
    </cfRule>
    <cfRule type="cellIs" dxfId="26" priority="15" operator="greaterThan">
      <formula>0.8</formula>
    </cfRule>
  </conditionalFormatting>
  <conditionalFormatting sqref="Q7:Q8">
    <cfRule type="cellIs" dxfId="25" priority="6" operator="lessThan">
      <formula>0.8</formula>
    </cfRule>
    <cfRule type="cellIs" dxfId="24" priority="7" operator="greaterThan">
      <formula>0.8</formula>
    </cfRule>
  </conditionalFormatting>
  <conditionalFormatting sqref="N7:N8">
    <cfRule type="cellIs" dxfId="23" priority="12" operator="lessThan">
      <formula>0.8</formula>
    </cfRule>
    <cfRule type="cellIs" dxfId="22" priority="13" stopIfTrue="1" operator="greaterThan">
      <formula>0.8</formula>
    </cfRule>
  </conditionalFormatting>
  <conditionalFormatting sqref="O7:O8">
    <cfRule type="cellIs" dxfId="21" priority="10" operator="lessThan">
      <formula>0.8</formula>
    </cfRule>
    <cfRule type="cellIs" dxfId="20" priority="11" operator="greaterThan">
      <formula>0.8</formula>
    </cfRule>
  </conditionalFormatting>
  <conditionalFormatting sqref="P7:P8">
    <cfRule type="cellIs" dxfId="19" priority="8" operator="lessThan">
      <formula>0.8</formula>
    </cfRule>
    <cfRule type="cellIs" dxfId="18" priority="9" operator="greaterThan">
      <formula>0.8</formula>
    </cfRule>
  </conditionalFormatting>
  <conditionalFormatting sqref="J8 A7:XFD7">
    <cfRule type="cellIs" dxfId="17" priority="4" operator="greaterThan">
      <formula>0.7999</formula>
    </cfRule>
    <cfRule type="cellIs" dxfId="16" priority="5" operator="greaterThan">
      <formula>80</formula>
    </cfRule>
  </conditionalFormatting>
  <conditionalFormatting sqref="J8 B7:J7">
    <cfRule type="cellIs" dxfId="15" priority="1" operator="lessThan">
      <formula>0.8</formula>
    </cfRule>
    <cfRule type="cellIs" dxfId="14" priority="3" operator="greaterThan">
      <formula>0.55</formula>
    </cfRule>
  </conditionalFormatting>
  <conditionalFormatting sqref="N7:Q7">
    <cfRule type="cellIs" dxfId="13" priority="2" operator="greaterThan">
      <formula>0.55</formula>
    </cfRule>
  </conditionalFormatting>
  <pageMargins left="0.7" right="0.7" top="0.75" bottom="0.75" header="0.3" footer="0.3"/>
  <drawing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83D0B-1A8B-455C-92E5-356133FB6580}">
  <dimension ref="B1:Q8"/>
  <sheetViews>
    <sheetView showGridLines="0" workbookViewId="0">
      <selection activeCell="E18" sqref="E18"/>
    </sheetView>
  </sheetViews>
  <sheetFormatPr defaultColWidth="9" defaultRowHeight="16.5" outlineLevelCol="1" x14ac:dyDescent="0.3"/>
  <cols>
    <col min="1" max="1" width="9" style="160"/>
    <col min="2" max="2" width="11.7109375" style="160" bestFit="1" customWidth="1"/>
    <col min="3" max="3" width="14.5703125" style="160" customWidth="1" outlineLevel="1"/>
    <col min="4" max="4" width="15" style="160" bestFit="1" customWidth="1" outlineLevel="1"/>
    <col min="5" max="5" width="11.85546875" style="160" bestFit="1" customWidth="1" outlineLevel="1"/>
    <col min="6" max="6" width="10.42578125" style="160" bestFit="1" customWidth="1" outlineLevel="1"/>
    <col min="7" max="7" width="16.85546875" style="160" bestFit="1" customWidth="1" outlineLevel="1"/>
    <col min="8" max="8" width="9.85546875" style="161" customWidth="1"/>
    <col min="9" max="9" width="8.85546875" style="161" bestFit="1" customWidth="1"/>
    <col min="10" max="11" width="3.140625" style="160" bestFit="1" customWidth="1"/>
    <col min="12" max="16384" width="9" style="160"/>
  </cols>
  <sheetData>
    <row r="1" spans="2:17" ht="17.25" thickBot="1" x14ac:dyDescent="0.35">
      <c r="H1" s="161" t="s">
        <v>56</v>
      </c>
    </row>
    <row r="2" spans="2:17" s="161" customFormat="1" ht="66.75" thickBot="1" x14ac:dyDescent="0.3">
      <c r="B2" s="162" t="s">
        <v>48</v>
      </c>
      <c r="C2" s="163" t="s">
        <v>53</v>
      </c>
      <c r="D2" s="163" t="s">
        <v>64</v>
      </c>
      <c r="E2" s="163" t="s">
        <v>54</v>
      </c>
      <c r="F2" s="163" t="s">
        <v>55</v>
      </c>
      <c r="G2" s="163" t="s">
        <v>80</v>
      </c>
      <c r="H2" s="163" t="s">
        <v>57</v>
      </c>
      <c r="I2" s="163" t="s">
        <v>58</v>
      </c>
      <c r="J2" s="163" t="s">
        <v>59</v>
      </c>
      <c r="K2" s="163" t="s">
        <v>59</v>
      </c>
      <c r="L2" s="164"/>
      <c r="M2" s="164"/>
      <c r="N2" s="164"/>
      <c r="O2" s="164"/>
      <c r="P2" s="164"/>
      <c r="Q2" s="164"/>
    </row>
    <row r="3" spans="2:17" x14ac:dyDescent="0.3">
      <c r="B3" s="165" t="s">
        <v>0</v>
      </c>
      <c r="C3" s="166">
        <v>41968</v>
      </c>
      <c r="D3" s="167" t="s">
        <v>82</v>
      </c>
      <c r="E3" s="166" t="s">
        <v>83</v>
      </c>
      <c r="F3" s="168">
        <v>43644</v>
      </c>
      <c r="G3" s="169" t="s">
        <v>81</v>
      </c>
      <c r="H3" s="164" t="s">
        <v>63</v>
      </c>
      <c r="I3" s="164" t="s">
        <v>60</v>
      </c>
      <c r="J3" s="167"/>
      <c r="K3" s="167"/>
      <c r="L3" s="167"/>
      <c r="M3" s="167"/>
      <c r="N3" s="167"/>
      <c r="O3" s="167"/>
      <c r="P3" s="167"/>
      <c r="Q3" s="167"/>
    </row>
    <row r="4" spans="2:17" x14ac:dyDescent="0.3">
      <c r="B4" s="170" t="s">
        <v>1</v>
      </c>
      <c r="C4" s="166">
        <v>41968</v>
      </c>
      <c r="D4" s="167" t="s">
        <v>82</v>
      </c>
      <c r="E4" s="166" t="s">
        <v>83</v>
      </c>
      <c r="F4" s="168">
        <v>43644</v>
      </c>
      <c r="G4" s="169" t="s">
        <v>81</v>
      </c>
      <c r="H4" s="164" t="s">
        <v>63</v>
      </c>
      <c r="I4" s="164" t="s">
        <v>61</v>
      </c>
      <c r="J4" s="167"/>
      <c r="K4" s="167"/>
      <c r="L4" s="167"/>
      <c r="M4" s="167"/>
      <c r="N4" s="167"/>
      <c r="O4" s="167"/>
      <c r="P4" s="167"/>
      <c r="Q4" s="167"/>
    </row>
    <row r="5" spans="2:17" x14ac:dyDescent="0.3">
      <c r="B5" s="170" t="s">
        <v>2</v>
      </c>
      <c r="C5" s="166">
        <v>41968</v>
      </c>
      <c r="D5" s="167" t="s">
        <v>82</v>
      </c>
      <c r="E5" s="166" t="s">
        <v>83</v>
      </c>
      <c r="F5" s="168">
        <v>43650</v>
      </c>
      <c r="G5" s="169" t="s">
        <v>81</v>
      </c>
      <c r="H5" s="164" t="s">
        <v>63</v>
      </c>
      <c r="I5" s="164" t="s">
        <v>61</v>
      </c>
      <c r="J5" s="167"/>
      <c r="K5" s="167"/>
      <c r="L5" s="167"/>
      <c r="M5" s="167"/>
      <c r="N5" s="167"/>
      <c r="O5" s="167"/>
      <c r="P5" s="167"/>
      <c r="Q5" s="167"/>
    </row>
    <row r="6" spans="2:17" x14ac:dyDescent="0.3">
      <c r="B6" s="171" t="s">
        <v>3</v>
      </c>
      <c r="C6" s="166">
        <v>41968</v>
      </c>
      <c r="D6" s="167" t="s">
        <v>82</v>
      </c>
      <c r="E6" s="166" t="s">
        <v>83</v>
      </c>
      <c r="F6" s="168">
        <v>43647</v>
      </c>
      <c r="G6" s="169" t="s">
        <v>81</v>
      </c>
      <c r="H6" s="164" t="s">
        <v>63</v>
      </c>
      <c r="I6" s="164" t="s">
        <v>61</v>
      </c>
      <c r="J6" s="167"/>
      <c r="K6" s="167"/>
      <c r="L6" s="167"/>
      <c r="M6" s="167"/>
      <c r="N6" s="167"/>
      <c r="O6" s="167"/>
      <c r="P6" s="167"/>
      <c r="Q6" s="167"/>
    </row>
    <row r="7" spans="2:17" x14ac:dyDescent="0.3">
      <c r="B7" s="172" t="s">
        <v>4</v>
      </c>
      <c r="C7" s="166">
        <v>42429</v>
      </c>
      <c r="D7" s="166" t="s">
        <v>65</v>
      </c>
      <c r="E7" s="166" t="s">
        <v>83</v>
      </c>
      <c r="F7" s="168">
        <v>43675</v>
      </c>
      <c r="G7" s="169" t="s">
        <v>81</v>
      </c>
      <c r="H7" s="164" t="s">
        <v>62</v>
      </c>
      <c r="I7" s="164" t="s">
        <v>60</v>
      </c>
      <c r="J7" s="167"/>
      <c r="K7" s="167"/>
      <c r="L7" s="167"/>
      <c r="M7" s="167"/>
      <c r="N7" s="167"/>
      <c r="O7" s="167"/>
      <c r="P7" s="167"/>
      <c r="Q7" s="167"/>
    </row>
    <row r="8" spans="2:17" x14ac:dyDescent="0.3">
      <c r="B8" s="170" t="s">
        <v>5</v>
      </c>
      <c r="C8" s="166">
        <v>42429</v>
      </c>
      <c r="D8" s="166" t="s">
        <v>65</v>
      </c>
      <c r="E8" s="166" t="s">
        <v>83</v>
      </c>
      <c r="F8" s="168">
        <v>43647</v>
      </c>
      <c r="G8" s="169" t="s">
        <v>81</v>
      </c>
      <c r="H8" s="164" t="s">
        <v>62</v>
      </c>
      <c r="I8" s="164" t="s">
        <v>60</v>
      </c>
      <c r="J8" s="167"/>
      <c r="K8" s="167"/>
      <c r="L8" s="167"/>
      <c r="M8" s="167"/>
      <c r="N8" s="167"/>
      <c r="O8" s="167"/>
      <c r="P8" s="167"/>
      <c r="Q8" s="16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30EC4-1371-4DFE-ACF6-6784A6DEA3C2}">
  <dimension ref="A1:M43"/>
  <sheetViews>
    <sheetView showGridLines="0" showRowColHeaders="0" workbookViewId="0">
      <selection activeCell="P19" sqref="P19"/>
    </sheetView>
  </sheetViews>
  <sheetFormatPr defaultRowHeight="14.25" x14ac:dyDescent="0.2"/>
  <cols>
    <col min="1" max="1" width="13.140625" style="241" bestFit="1" customWidth="1"/>
    <col min="2" max="10" width="9.140625" style="241"/>
    <col min="11" max="11" width="10.28515625" style="241" bestFit="1" customWidth="1"/>
    <col min="12" max="16384" width="9.140625" style="241"/>
  </cols>
  <sheetData>
    <row r="1" spans="1:13" x14ac:dyDescent="0.2">
      <c r="A1" s="253"/>
      <c r="B1" s="254">
        <v>43831</v>
      </c>
      <c r="C1" s="254">
        <v>43862</v>
      </c>
      <c r="D1" s="254">
        <v>43891</v>
      </c>
      <c r="E1" s="254">
        <v>43922</v>
      </c>
      <c r="F1" s="254">
        <v>43952</v>
      </c>
      <c r="G1" s="254">
        <v>43983</v>
      </c>
      <c r="H1" s="254">
        <v>44013</v>
      </c>
      <c r="I1" s="254">
        <v>44044</v>
      </c>
      <c r="J1" s="254">
        <v>44075</v>
      </c>
      <c r="K1" s="254">
        <v>44105</v>
      </c>
      <c r="L1" s="254">
        <v>44136</v>
      </c>
      <c r="M1" s="254">
        <v>44166</v>
      </c>
    </row>
    <row r="2" spans="1:13" x14ac:dyDescent="0.2">
      <c r="A2" s="253" t="s">
        <v>115</v>
      </c>
      <c r="B2" s="255">
        <v>0.749</v>
      </c>
      <c r="C2" s="255">
        <v>0.752</v>
      </c>
      <c r="D2" s="255">
        <v>0.79</v>
      </c>
      <c r="E2" s="255">
        <v>0.69499999999999995</v>
      </c>
      <c r="F2" s="255">
        <v>0.623</v>
      </c>
      <c r="G2" s="255">
        <v>0.64600000000000002</v>
      </c>
      <c r="H2" s="255">
        <v>0.50800000000000001</v>
      </c>
      <c r="I2" s="255">
        <v>0.79900000000000004</v>
      </c>
      <c r="J2" s="255">
        <v>0.65200000000000002</v>
      </c>
      <c r="K2" s="255">
        <v>0.71399999999999997</v>
      </c>
      <c r="L2" s="255">
        <v>0.82740000000000002</v>
      </c>
      <c r="M2" s="255"/>
    </row>
    <row r="3" spans="1:13" x14ac:dyDescent="0.2">
      <c r="A3" s="253" t="s">
        <v>116</v>
      </c>
      <c r="B3" s="255">
        <v>0.77400000000000002</v>
      </c>
      <c r="C3" s="255">
        <v>0.77400000000000002</v>
      </c>
      <c r="D3" s="255">
        <v>0.77400000000000002</v>
      </c>
      <c r="E3" s="255">
        <v>0.77400000000000002</v>
      </c>
      <c r="F3" s="255">
        <v>0.77400000000000002</v>
      </c>
      <c r="G3" s="255">
        <v>0.77400000000000002</v>
      </c>
      <c r="H3" s="255">
        <v>0.77400000000000002</v>
      </c>
      <c r="I3" s="255">
        <v>0.77400000000000002</v>
      </c>
      <c r="J3" s="255">
        <v>0.77400000000000002</v>
      </c>
      <c r="K3" s="255">
        <v>0.77400000000000002</v>
      </c>
      <c r="L3" s="255">
        <v>0.77400000000000002</v>
      </c>
      <c r="M3" s="255">
        <v>0.77400000000000002</v>
      </c>
    </row>
    <row r="4" spans="1:13" x14ac:dyDescent="0.2">
      <c r="B4" s="242"/>
    </row>
    <row r="31" spans="11:11" x14ac:dyDescent="0.2">
      <c r="K31" s="242"/>
    </row>
    <row r="32" spans="11:11" x14ac:dyDescent="0.2">
      <c r="K32" s="242"/>
    </row>
    <row r="33" spans="11:11" x14ac:dyDescent="0.2">
      <c r="K33" s="242"/>
    </row>
    <row r="34" spans="11:11" x14ac:dyDescent="0.2">
      <c r="K34" s="242"/>
    </row>
    <row r="35" spans="11:11" x14ac:dyDescent="0.2">
      <c r="K35" s="242"/>
    </row>
    <row r="37" spans="11:11" x14ac:dyDescent="0.2">
      <c r="K37" s="242"/>
    </row>
    <row r="38" spans="11:11" x14ac:dyDescent="0.2">
      <c r="K38" s="242"/>
    </row>
    <row r="39" spans="11:11" x14ac:dyDescent="0.2">
      <c r="K39" s="242"/>
    </row>
    <row r="40" spans="11:11" x14ac:dyDescent="0.2">
      <c r="K40" s="242"/>
    </row>
    <row r="41" spans="11:11" x14ac:dyDescent="0.2">
      <c r="K41" s="242"/>
    </row>
    <row r="42" spans="11:11" x14ac:dyDescent="0.2">
      <c r="K42" s="242"/>
    </row>
    <row r="43" spans="11:11" x14ac:dyDescent="0.2">
      <c r="K43" s="242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4D77E-F3F7-4D8F-BC32-DE9858DAB0F7}">
  <dimension ref="A1:H11"/>
  <sheetViews>
    <sheetView workbookViewId="0">
      <selection activeCell="E33" sqref="E33"/>
    </sheetView>
  </sheetViews>
  <sheetFormatPr defaultRowHeight="14.25" x14ac:dyDescent="0.2"/>
  <cols>
    <col min="1" max="1" width="13.42578125" style="241" bestFit="1" customWidth="1"/>
    <col min="2" max="2" width="12" style="241" bestFit="1" customWidth="1"/>
    <col min="3" max="3" width="12" style="241" customWidth="1"/>
    <col min="4" max="4" width="12.5703125" style="241" bestFit="1" customWidth="1"/>
    <col min="5" max="6" width="12" style="241" bestFit="1" customWidth="1"/>
    <col min="7" max="7" width="12.5703125" style="241" bestFit="1" customWidth="1"/>
    <col min="8" max="8" width="8" style="241" bestFit="1" customWidth="1"/>
    <col min="9" max="16384" width="9.140625" style="241"/>
  </cols>
  <sheetData>
    <row r="1" spans="1:8" ht="30" customHeight="1" x14ac:dyDescent="0.2">
      <c r="A1" s="351" t="s">
        <v>119</v>
      </c>
      <c r="B1" s="352"/>
      <c r="C1" s="352"/>
      <c r="D1" s="352"/>
      <c r="E1" s="352"/>
      <c r="F1" s="352"/>
      <c r="G1" s="352"/>
      <c r="H1" s="352"/>
    </row>
    <row r="2" spans="1:8" s="270" customFormat="1" ht="15" x14ac:dyDescent="0.25">
      <c r="A2" s="260" t="s">
        <v>6</v>
      </c>
      <c r="B2" s="259" t="s">
        <v>0</v>
      </c>
      <c r="C2" s="258" t="s">
        <v>1</v>
      </c>
      <c r="D2" s="4" t="s">
        <v>2</v>
      </c>
      <c r="E2" s="259" t="s">
        <v>3</v>
      </c>
      <c r="F2" s="259" t="s">
        <v>4</v>
      </c>
      <c r="G2" s="4" t="s">
        <v>5</v>
      </c>
      <c r="H2" s="269" t="s">
        <v>17</v>
      </c>
    </row>
    <row r="3" spans="1:8" x14ac:dyDescent="0.2">
      <c r="A3" s="247" t="s">
        <v>8</v>
      </c>
      <c r="B3" s="228">
        <v>100</v>
      </c>
      <c r="C3" s="228">
        <v>100</v>
      </c>
      <c r="D3" s="228">
        <v>100</v>
      </c>
      <c r="E3" s="228">
        <v>100</v>
      </c>
      <c r="F3" s="228">
        <v>100</v>
      </c>
      <c r="G3" s="228">
        <v>100</v>
      </c>
      <c r="H3" s="253">
        <f>SUM(B3:G3)</f>
        <v>600</v>
      </c>
    </row>
    <row r="4" spans="1:8" x14ac:dyDescent="0.2">
      <c r="A4" s="248" t="s">
        <v>9</v>
      </c>
      <c r="B4" s="228">
        <v>45</v>
      </c>
      <c r="C4" s="228">
        <v>9</v>
      </c>
      <c r="D4" s="228">
        <v>20</v>
      </c>
      <c r="E4" s="228">
        <v>42</v>
      </c>
      <c r="F4" s="228">
        <v>43</v>
      </c>
      <c r="G4" s="228">
        <v>12</v>
      </c>
      <c r="H4" s="253">
        <f>SUM(B4:G4)</f>
        <v>171</v>
      </c>
    </row>
    <row r="5" spans="1:8" x14ac:dyDescent="0.2">
      <c r="A5" s="247" t="s">
        <v>9</v>
      </c>
      <c r="B5" s="231">
        <f>B4/B3</f>
        <v>0.45</v>
      </c>
      <c r="C5" s="231">
        <f t="shared" ref="C5:H5" si="0">C4/C3</f>
        <v>0.09</v>
      </c>
      <c r="D5" s="231">
        <f t="shared" si="0"/>
        <v>0.2</v>
      </c>
      <c r="E5" s="231">
        <f t="shared" si="0"/>
        <v>0.42</v>
      </c>
      <c r="F5" s="231">
        <f t="shared" si="0"/>
        <v>0.43</v>
      </c>
      <c r="G5" s="231">
        <f t="shared" si="0"/>
        <v>0.12</v>
      </c>
      <c r="H5" s="231">
        <f t="shared" si="0"/>
        <v>0.28499999999999998</v>
      </c>
    </row>
    <row r="6" spans="1:8" ht="25.5" x14ac:dyDescent="0.2">
      <c r="A6" s="248" t="s">
        <v>120</v>
      </c>
      <c r="B6" s="231">
        <f>1-B5</f>
        <v>0.55000000000000004</v>
      </c>
      <c r="C6" s="231">
        <f t="shared" ref="C6:H6" si="1">1-C5</f>
        <v>0.91</v>
      </c>
      <c r="D6" s="231">
        <f t="shared" si="1"/>
        <v>0.8</v>
      </c>
      <c r="E6" s="231">
        <f t="shared" si="1"/>
        <v>0.58000000000000007</v>
      </c>
      <c r="F6" s="231">
        <f t="shared" si="1"/>
        <v>0.57000000000000006</v>
      </c>
      <c r="G6" s="231">
        <f t="shared" si="1"/>
        <v>0.88</v>
      </c>
      <c r="H6" s="231">
        <f t="shared" si="1"/>
        <v>0.71500000000000008</v>
      </c>
    </row>
    <row r="7" spans="1:8" x14ac:dyDescent="0.2">
      <c r="A7" s="249" t="s">
        <v>98</v>
      </c>
      <c r="B7" s="3">
        <v>0.8</v>
      </c>
      <c r="C7" s="3">
        <v>0.8</v>
      </c>
      <c r="D7" s="3">
        <v>0.8</v>
      </c>
      <c r="E7" s="3">
        <v>0.8</v>
      </c>
      <c r="F7" s="3">
        <v>0.8</v>
      </c>
      <c r="G7" s="3">
        <v>0.8</v>
      </c>
      <c r="H7" s="3">
        <v>0.8</v>
      </c>
    </row>
    <row r="11" spans="1:8" x14ac:dyDescent="0.2">
      <c r="E11" s="242"/>
    </row>
  </sheetData>
  <mergeCells count="1">
    <mergeCell ref="A1:H1"/>
  </mergeCells>
  <conditionalFormatting sqref="B5:H6">
    <cfRule type="cellIs" dxfId="12" priority="14" operator="lessThan">
      <formula>0.8</formula>
    </cfRule>
    <cfRule type="cellIs" dxfId="11" priority="15" operator="greaterThan">
      <formula>0.8</formula>
    </cfRule>
  </conditionalFormatting>
  <conditionalFormatting sqref="A5:XFD5">
    <cfRule type="cellIs" dxfId="10" priority="4" operator="greaterThan">
      <formula>0.7999</formula>
    </cfRule>
    <cfRule type="cellIs" dxfId="9" priority="5" operator="greaterThan">
      <formula>80</formula>
    </cfRule>
  </conditionalFormatting>
  <conditionalFormatting sqref="B5:H5">
    <cfRule type="cellIs" dxfId="8" priority="1" operator="lessThan">
      <formula>0.8</formula>
    </cfRule>
    <cfRule type="cellIs" dxfId="7" priority="3" operator="greaterThan">
      <formula>0.55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3B9A6-7BBB-482A-AD50-09CEAA153A5F}">
  <dimension ref="B2:N53"/>
  <sheetViews>
    <sheetView workbookViewId="0">
      <selection activeCell="Q16" sqref="Q16"/>
    </sheetView>
  </sheetViews>
  <sheetFormatPr defaultColWidth="9" defaultRowHeight="14.25" outlineLevelRow="1" x14ac:dyDescent="0.25"/>
  <cols>
    <col min="1" max="1" width="2.42578125" style="5" customWidth="1"/>
    <col min="2" max="2" width="20.7109375" style="6" customWidth="1"/>
    <col min="3" max="3" width="9.140625" style="5" bestFit="1" customWidth="1"/>
    <col min="4" max="6" width="8.140625" style="5" bestFit="1" customWidth="1"/>
    <col min="7" max="8" width="8.140625" style="6" bestFit="1" customWidth="1"/>
    <col min="9" max="9" width="9" style="6"/>
    <col min="10" max="14" width="8.140625" style="6" customWidth="1"/>
    <col min="15" max="16384" width="9" style="5"/>
  </cols>
  <sheetData>
    <row r="2" spans="2:14" ht="18" x14ac:dyDescent="0.25">
      <c r="B2" s="68" t="s">
        <v>102</v>
      </c>
    </row>
    <row r="3" spans="2:14" x14ac:dyDescent="0.25">
      <c r="B3" s="5"/>
    </row>
    <row r="4" spans="2:14" ht="15.75" thickBot="1" x14ac:dyDescent="0.3">
      <c r="B4" s="67" t="s">
        <v>137</v>
      </c>
    </row>
    <row r="5" spans="2:14" ht="43.5" hidden="1" customHeight="1" outlineLevel="1" x14ac:dyDescent="0.25"/>
    <row r="6" spans="2:14" s="18" customFormat="1" ht="15.75" collapsed="1" thickBot="1" x14ac:dyDescent="0.3">
      <c r="B6" s="87" t="s">
        <v>48</v>
      </c>
      <c r="C6" s="88" t="s">
        <v>43</v>
      </c>
      <c r="D6" s="88" t="s">
        <v>45</v>
      </c>
      <c r="E6" s="88" t="s">
        <v>44</v>
      </c>
      <c r="F6" s="182" t="s">
        <v>47</v>
      </c>
      <c r="G6" s="213" t="s">
        <v>86</v>
      </c>
      <c r="H6" s="153" t="s">
        <v>87</v>
      </c>
      <c r="I6" s="153" t="s">
        <v>95</v>
      </c>
      <c r="J6" s="218">
        <v>44044</v>
      </c>
      <c r="K6" s="218">
        <v>44075</v>
      </c>
      <c r="L6" s="218">
        <v>44105</v>
      </c>
      <c r="M6" s="218">
        <v>44136</v>
      </c>
      <c r="N6" s="219">
        <v>44166</v>
      </c>
    </row>
    <row r="7" spans="2:14" x14ac:dyDescent="0.25">
      <c r="B7" s="85" t="s">
        <v>0</v>
      </c>
      <c r="C7" s="86">
        <v>60</v>
      </c>
      <c r="D7" s="86">
        <v>67</v>
      </c>
      <c r="E7" s="86">
        <v>46</v>
      </c>
      <c r="F7" s="183">
        <v>19</v>
      </c>
      <c r="G7" s="214">
        <v>12</v>
      </c>
      <c r="H7" s="8">
        <v>44</v>
      </c>
      <c r="I7" s="8">
        <v>48</v>
      </c>
      <c r="J7" s="8">
        <v>25</v>
      </c>
      <c r="K7" s="8">
        <v>46</v>
      </c>
      <c r="L7" s="8">
        <v>38</v>
      </c>
      <c r="M7" s="8">
        <v>15</v>
      </c>
      <c r="N7" s="204">
        <f>Data!R5</f>
        <v>67</v>
      </c>
    </row>
    <row r="8" spans="2:14" x14ac:dyDescent="0.25">
      <c r="B8" s="69" t="s">
        <v>1</v>
      </c>
      <c r="C8" s="70">
        <v>116</v>
      </c>
      <c r="D8" s="70">
        <v>107</v>
      </c>
      <c r="E8" s="70">
        <v>108</v>
      </c>
      <c r="F8" s="184">
        <v>35</v>
      </c>
      <c r="G8" s="29">
        <v>28</v>
      </c>
      <c r="H8" s="8">
        <v>83</v>
      </c>
      <c r="I8" s="8">
        <v>25</v>
      </c>
      <c r="J8" s="8">
        <v>85</v>
      </c>
      <c r="K8" s="8">
        <v>108</v>
      </c>
      <c r="L8" s="8">
        <v>164</v>
      </c>
      <c r="M8" s="8">
        <v>61</v>
      </c>
      <c r="N8" s="204">
        <f>Data!R6</f>
        <v>170</v>
      </c>
    </row>
    <row r="9" spans="2:14" x14ac:dyDescent="0.25">
      <c r="B9" s="69" t="s">
        <v>2</v>
      </c>
      <c r="C9" s="70">
        <v>12</v>
      </c>
      <c r="D9" s="70">
        <v>27</v>
      </c>
      <c r="E9" s="70">
        <v>23</v>
      </c>
      <c r="F9" s="184">
        <v>23</v>
      </c>
      <c r="G9" s="29">
        <v>79</v>
      </c>
      <c r="H9" s="8">
        <v>15</v>
      </c>
      <c r="I9" s="8">
        <v>3</v>
      </c>
      <c r="J9" s="8">
        <v>6</v>
      </c>
      <c r="K9" s="8">
        <v>32</v>
      </c>
      <c r="L9" s="8">
        <v>54</v>
      </c>
      <c r="M9" s="8">
        <v>23</v>
      </c>
      <c r="N9" s="204">
        <f>Data!R7</f>
        <v>32</v>
      </c>
    </row>
    <row r="10" spans="2:14" s="13" customFormat="1" x14ac:dyDescent="0.25">
      <c r="B10" s="71" t="s">
        <v>3</v>
      </c>
      <c r="C10" s="72">
        <v>0</v>
      </c>
      <c r="D10" s="72">
        <v>3</v>
      </c>
      <c r="E10" s="72">
        <v>11</v>
      </c>
      <c r="F10" s="185">
        <v>41</v>
      </c>
      <c r="G10" s="29">
        <v>40</v>
      </c>
      <c r="H10" s="8">
        <v>0</v>
      </c>
      <c r="I10" s="8">
        <v>49</v>
      </c>
      <c r="J10" s="8">
        <v>40</v>
      </c>
      <c r="K10" s="8">
        <v>39</v>
      </c>
      <c r="L10" s="8">
        <v>64</v>
      </c>
      <c r="M10" s="8">
        <v>19</v>
      </c>
      <c r="N10" s="204">
        <f>Data!R8</f>
        <v>35</v>
      </c>
    </row>
    <row r="11" spans="2:14" x14ac:dyDescent="0.25">
      <c r="B11" s="73" t="s">
        <v>4</v>
      </c>
      <c r="C11" s="74">
        <v>44</v>
      </c>
      <c r="D11" s="74">
        <v>65</v>
      </c>
      <c r="E11" s="74">
        <v>24</v>
      </c>
      <c r="F11" s="186">
        <v>27</v>
      </c>
      <c r="G11" s="29">
        <v>37</v>
      </c>
      <c r="H11" s="8">
        <v>1</v>
      </c>
      <c r="I11" s="8">
        <v>55</v>
      </c>
      <c r="J11" s="8">
        <v>9</v>
      </c>
      <c r="K11" s="8">
        <v>27</v>
      </c>
      <c r="L11" s="8">
        <v>43</v>
      </c>
      <c r="M11" s="8">
        <v>19</v>
      </c>
      <c r="N11" s="204">
        <f>Data!R9</f>
        <v>35</v>
      </c>
    </row>
    <row r="12" spans="2:14" ht="15" thickBot="1" x14ac:dyDescent="0.3">
      <c r="B12" s="73" t="s">
        <v>5</v>
      </c>
      <c r="C12" s="74">
        <v>94</v>
      </c>
      <c r="D12" s="74">
        <v>140</v>
      </c>
      <c r="E12" s="74">
        <v>118</v>
      </c>
      <c r="F12" s="186">
        <v>60</v>
      </c>
      <c r="G12" s="215">
        <v>34</v>
      </c>
      <c r="H12" s="8">
        <v>69</v>
      </c>
      <c r="I12" s="8">
        <v>20</v>
      </c>
      <c r="J12" s="8">
        <v>116</v>
      </c>
      <c r="K12" s="8">
        <v>103</v>
      </c>
      <c r="L12" s="8">
        <v>179</v>
      </c>
      <c r="M12" s="8">
        <v>83</v>
      </c>
      <c r="N12" s="204">
        <f>Data!R10</f>
        <v>148</v>
      </c>
    </row>
    <row r="13" spans="2:14" ht="15" thickBot="1" x14ac:dyDescent="0.3">
      <c r="B13" s="187" t="s">
        <v>8</v>
      </c>
      <c r="C13" s="188">
        <f>SUM(C7:C12)</f>
        <v>326</v>
      </c>
      <c r="D13" s="188">
        <f t="shared" ref="D13:N13" si="0">SUM(D7:D12)</f>
        <v>409</v>
      </c>
      <c r="E13" s="188">
        <f t="shared" si="0"/>
        <v>330</v>
      </c>
      <c r="F13" s="189">
        <f t="shared" si="0"/>
        <v>205</v>
      </c>
      <c r="G13" s="189">
        <f t="shared" si="0"/>
        <v>230</v>
      </c>
      <c r="H13" s="157">
        <f t="shared" si="0"/>
        <v>212</v>
      </c>
      <c r="I13" s="157">
        <f t="shared" si="0"/>
        <v>200</v>
      </c>
      <c r="J13" s="157">
        <f t="shared" si="0"/>
        <v>281</v>
      </c>
      <c r="K13" s="157">
        <f t="shared" si="0"/>
        <v>355</v>
      </c>
      <c r="L13" s="157">
        <f t="shared" si="0"/>
        <v>542</v>
      </c>
      <c r="M13" s="157">
        <f t="shared" si="0"/>
        <v>220</v>
      </c>
      <c r="N13" s="157">
        <f t="shared" si="0"/>
        <v>487</v>
      </c>
    </row>
    <row r="15" spans="2:14" ht="15.75" thickBot="1" x14ac:dyDescent="0.3">
      <c r="B15" s="66" t="s">
        <v>101</v>
      </c>
    </row>
    <row r="16" spans="2:14" s="18" customFormat="1" ht="29.65" customHeight="1" x14ac:dyDescent="0.25">
      <c r="B16" s="217" t="s">
        <v>48</v>
      </c>
      <c r="C16" s="154" t="s">
        <v>43</v>
      </c>
      <c r="D16" s="154" t="s">
        <v>45</v>
      </c>
      <c r="E16" s="154" t="s">
        <v>44</v>
      </c>
      <c r="F16" s="154" t="s">
        <v>47</v>
      </c>
      <c r="G16" s="153" t="s">
        <v>86</v>
      </c>
      <c r="H16" s="153" t="s">
        <v>87</v>
      </c>
      <c r="I16" s="153" t="s">
        <v>95</v>
      </c>
      <c r="J16" s="218">
        <v>44044</v>
      </c>
      <c r="K16" s="218">
        <v>44075</v>
      </c>
      <c r="L16" s="218">
        <v>44105</v>
      </c>
      <c r="M16" s="218">
        <v>44136</v>
      </c>
      <c r="N16" s="219">
        <v>44166</v>
      </c>
    </row>
    <row r="17" spans="2:14" x14ac:dyDescent="0.25">
      <c r="B17" s="50" t="s">
        <v>0</v>
      </c>
      <c r="C17" s="8">
        <v>0</v>
      </c>
      <c r="D17" s="8">
        <v>1</v>
      </c>
      <c r="E17" s="8">
        <v>0</v>
      </c>
      <c r="F17" s="8">
        <v>0</v>
      </c>
      <c r="G17" s="8">
        <v>0</v>
      </c>
      <c r="H17" s="8">
        <v>1</v>
      </c>
      <c r="I17" s="8">
        <v>2</v>
      </c>
      <c r="J17" s="8">
        <v>0</v>
      </c>
      <c r="K17" s="8">
        <v>2</v>
      </c>
      <c r="L17" s="8">
        <v>0</v>
      </c>
      <c r="M17" s="8">
        <v>1</v>
      </c>
      <c r="N17" s="204">
        <v>1</v>
      </c>
    </row>
    <row r="18" spans="2:14" x14ac:dyDescent="0.25">
      <c r="B18" s="50" t="s">
        <v>1</v>
      </c>
      <c r="C18" s="8">
        <v>1</v>
      </c>
      <c r="D18" s="8">
        <v>0</v>
      </c>
      <c r="E18" s="8">
        <v>0</v>
      </c>
      <c r="F18" s="8">
        <v>0</v>
      </c>
      <c r="G18" s="8">
        <v>0</v>
      </c>
      <c r="H18" s="8">
        <v>6</v>
      </c>
      <c r="I18" s="8">
        <v>2</v>
      </c>
      <c r="J18" s="8">
        <v>2</v>
      </c>
      <c r="K18" s="8">
        <v>7</v>
      </c>
      <c r="L18" s="8">
        <v>1</v>
      </c>
      <c r="M18" s="8">
        <v>0</v>
      </c>
      <c r="N18" s="204">
        <v>5</v>
      </c>
    </row>
    <row r="19" spans="2:14" x14ac:dyDescent="0.25">
      <c r="B19" s="50" t="s">
        <v>2</v>
      </c>
      <c r="C19" s="8">
        <v>0</v>
      </c>
      <c r="D19" s="8">
        <v>0</v>
      </c>
      <c r="E19" s="8">
        <v>1</v>
      </c>
      <c r="F19" s="8">
        <v>0</v>
      </c>
      <c r="G19" s="8">
        <v>7</v>
      </c>
      <c r="H19" s="8">
        <v>0</v>
      </c>
      <c r="I19" s="8">
        <v>0</v>
      </c>
      <c r="J19" s="8">
        <v>0</v>
      </c>
      <c r="K19" s="8">
        <v>2</v>
      </c>
      <c r="L19" s="8">
        <v>0</v>
      </c>
      <c r="M19" s="8">
        <v>0</v>
      </c>
      <c r="N19" s="204">
        <v>0</v>
      </c>
    </row>
    <row r="20" spans="2:14" s="13" customFormat="1" x14ac:dyDescent="0.25">
      <c r="B20" s="54" t="s">
        <v>3</v>
      </c>
      <c r="C20" s="11">
        <v>0</v>
      </c>
      <c r="D20" s="11">
        <v>0</v>
      </c>
      <c r="E20" s="11">
        <v>0</v>
      </c>
      <c r="F20" s="11">
        <v>0</v>
      </c>
      <c r="G20" s="8">
        <v>1</v>
      </c>
      <c r="H20" s="8">
        <v>0</v>
      </c>
      <c r="I20" s="8">
        <v>1</v>
      </c>
      <c r="J20" s="8">
        <v>0</v>
      </c>
      <c r="K20" s="8">
        <v>0</v>
      </c>
      <c r="L20" s="8">
        <v>0</v>
      </c>
      <c r="M20" s="8">
        <v>0</v>
      </c>
      <c r="N20" s="204">
        <v>0</v>
      </c>
    </row>
    <row r="21" spans="2:14" x14ac:dyDescent="0.25">
      <c r="B21" s="50" t="s">
        <v>4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5</v>
      </c>
      <c r="J21" s="8">
        <v>0</v>
      </c>
      <c r="K21" s="8">
        <v>0</v>
      </c>
      <c r="L21" s="8">
        <v>0</v>
      </c>
      <c r="M21" s="8">
        <v>0</v>
      </c>
      <c r="N21" s="204">
        <v>1</v>
      </c>
    </row>
    <row r="22" spans="2:14" x14ac:dyDescent="0.25">
      <c r="B22" s="50" t="s">
        <v>5</v>
      </c>
      <c r="C22" s="8">
        <v>1</v>
      </c>
      <c r="D22" s="8">
        <v>0</v>
      </c>
      <c r="E22" s="8">
        <v>0</v>
      </c>
      <c r="F22" s="8">
        <v>1</v>
      </c>
      <c r="G22" s="8">
        <v>0</v>
      </c>
      <c r="H22" s="8">
        <v>1</v>
      </c>
      <c r="I22" s="8">
        <v>0</v>
      </c>
      <c r="J22" s="8">
        <v>0</v>
      </c>
      <c r="K22" s="8">
        <v>0</v>
      </c>
      <c r="L22" s="8">
        <v>1</v>
      </c>
      <c r="M22" s="8">
        <v>0</v>
      </c>
      <c r="N22" s="204">
        <v>2</v>
      </c>
    </row>
    <row r="23" spans="2:14" ht="15" thickBot="1" x14ac:dyDescent="0.3">
      <c r="B23" s="220" t="s">
        <v>8</v>
      </c>
      <c r="C23" s="157">
        <f>SUM(C17:C22)</f>
        <v>2</v>
      </c>
      <c r="D23" s="157">
        <f t="shared" ref="D23:N23" si="1">SUM(D17:D22)</f>
        <v>1</v>
      </c>
      <c r="E23" s="157">
        <f t="shared" si="1"/>
        <v>1</v>
      </c>
      <c r="F23" s="157">
        <f t="shared" si="1"/>
        <v>1</v>
      </c>
      <c r="G23" s="157">
        <f t="shared" si="1"/>
        <v>8</v>
      </c>
      <c r="H23" s="157">
        <f t="shared" si="1"/>
        <v>8</v>
      </c>
      <c r="I23" s="157">
        <f t="shared" si="1"/>
        <v>10</v>
      </c>
      <c r="J23" s="157">
        <f t="shared" si="1"/>
        <v>2</v>
      </c>
      <c r="K23" s="157">
        <f t="shared" si="1"/>
        <v>11</v>
      </c>
      <c r="L23" s="157">
        <f t="shared" si="1"/>
        <v>2</v>
      </c>
      <c r="M23" s="157">
        <f t="shared" si="1"/>
        <v>1</v>
      </c>
      <c r="N23" s="221">
        <f t="shared" si="1"/>
        <v>9</v>
      </c>
    </row>
    <row r="25" spans="2:14" ht="15.75" thickBot="1" x14ac:dyDescent="0.3">
      <c r="B25" s="66" t="s">
        <v>103</v>
      </c>
    </row>
    <row r="26" spans="2:14" ht="15.75" thickBot="1" x14ac:dyDescent="0.3">
      <c r="B26" s="87" t="s">
        <v>48</v>
      </c>
      <c r="C26" s="88" t="s">
        <v>43</v>
      </c>
      <c r="D26" s="88" t="s">
        <v>45</v>
      </c>
      <c r="E26" s="88" t="s">
        <v>44</v>
      </c>
      <c r="F26" s="88" t="s">
        <v>47</v>
      </c>
      <c r="G26" s="222" t="s">
        <v>86</v>
      </c>
      <c r="H26" s="199" t="s">
        <v>87</v>
      </c>
      <c r="I26" s="153" t="s">
        <v>95</v>
      </c>
      <c r="J26" s="218">
        <v>44044</v>
      </c>
      <c r="K26" s="218">
        <v>44075</v>
      </c>
      <c r="L26" s="218">
        <v>44105</v>
      </c>
      <c r="M26" s="218">
        <v>44136</v>
      </c>
      <c r="N26" s="219">
        <v>44166</v>
      </c>
    </row>
    <row r="27" spans="2:14" x14ac:dyDescent="0.25">
      <c r="B27" s="193" t="s">
        <v>0</v>
      </c>
      <c r="C27" s="90">
        <f>(C17/C7)</f>
        <v>0</v>
      </c>
      <c r="D27" s="90">
        <f t="shared" ref="D27:N33" si="2">(D17/D7)</f>
        <v>1.4925373134328358E-2</v>
      </c>
      <c r="E27" s="90">
        <f t="shared" si="2"/>
        <v>0</v>
      </c>
      <c r="F27" s="90">
        <f t="shared" si="2"/>
        <v>0</v>
      </c>
      <c r="G27" s="195">
        <f t="shared" si="2"/>
        <v>0</v>
      </c>
      <c r="H27" s="90">
        <f t="shared" si="2"/>
        <v>2.2727272727272728E-2</v>
      </c>
      <c r="I27" s="90">
        <f t="shared" si="2"/>
        <v>4.1666666666666664E-2</v>
      </c>
      <c r="J27" s="90">
        <f t="shared" si="2"/>
        <v>0</v>
      </c>
      <c r="K27" s="90">
        <f t="shared" si="2"/>
        <v>4.3478260869565216E-2</v>
      </c>
      <c r="L27" s="90">
        <f t="shared" si="2"/>
        <v>0</v>
      </c>
      <c r="M27" s="90">
        <f t="shared" si="2"/>
        <v>6.6666666666666666E-2</v>
      </c>
      <c r="N27" s="90">
        <f t="shared" si="2"/>
        <v>1.4925373134328358E-2</v>
      </c>
    </row>
    <row r="28" spans="2:14" x14ac:dyDescent="0.25">
      <c r="B28" s="71" t="s">
        <v>1</v>
      </c>
      <c r="C28" s="98">
        <f t="shared" ref="C28:G33" si="3">(C18/C8)</f>
        <v>8.6206896551724137E-3</v>
      </c>
      <c r="D28" s="98">
        <f t="shared" si="3"/>
        <v>0</v>
      </c>
      <c r="E28" s="98">
        <f t="shared" si="3"/>
        <v>0</v>
      </c>
      <c r="F28" s="98">
        <f t="shared" si="3"/>
        <v>0</v>
      </c>
      <c r="G28" s="196">
        <f t="shared" si="2"/>
        <v>0</v>
      </c>
      <c r="H28" s="98">
        <f t="shared" si="2"/>
        <v>7.2289156626506021E-2</v>
      </c>
      <c r="I28" s="98">
        <f t="shared" si="2"/>
        <v>0.08</v>
      </c>
      <c r="J28" s="98">
        <f t="shared" si="2"/>
        <v>2.3529411764705882E-2</v>
      </c>
      <c r="K28" s="98">
        <f t="shared" si="2"/>
        <v>6.4814814814814811E-2</v>
      </c>
      <c r="L28" s="98">
        <f t="shared" si="2"/>
        <v>6.0975609756097563E-3</v>
      </c>
      <c r="M28" s="98">
        <f t="shared" si="2"/>
        <v>0</v>
      </c>
      <c r="N28" s="98">
        <f t="shared" si="2"/>
        <v>2.9411764705882353E-2</v>
      </c>
    </row>
    <row r="29" spans="2:14" x14ac:dyDescent="0.25">
      <c r="B29" s="71" t="s">
        <v>2</v>
      </c>
      <c r="C29" s="98">
        <f t="shared" si="3"/>
        <v>0</v>
      </c>
      <c r="D29" s="98">
        <f t="shared" si="3"/>
        <v>0</v>
      </c>
      <c r="E29" s="98">
        <f t="shared" si="3"/>
        <v>4.3478260869565216E-2</v>
      </c>
      <c r="F29" s="98">
        <f t="shared" si="3"/>
        <v>0</v>
      </c>
      <c r="G29" s="196">
        <f t="shared" si="2"/>
        <v>8.8607594936708861E-2</v>
      </c>
      <c r="H29" s="98">
        <f t="shared" si="2"/>
        <v>0</v>
      </c>
      <c r="I29" s="98">
        <f t="shared" si="2"/>
        <v>0</v>
      </c>
      <c r="J29" s="98">
        <f t="shared" si="2"/>
        <v>0</v>
      </c>
      <c r="K29" s="98">
        <f t="shared" si="2"/>
        <v>6.25E-2</v>
      </c>
      <c r="L29" s="98">
        <f t="shared" si="2"/>
        <v>0</v>
      </c>
      <c r="M29" s="98">
        <f t="shared" si="2"/>
        <v>0</v>
      </c>
      <c r="N29" s="98">
        <f t="shared" si="2"/>
        <v>0</v>
      </c>
    </row>
    <row r="30" spans="2:14" x14ac:dyDescent="0.25">
      <c r="B30" s="71" t="s">
        <v>3</v>
      </c>
      <c r="C30" s="79" t="e">
        <f t="shared" si="3"/>
        <v>#DIV/0!</v>
      </c>
      <c r="D30" s="79">
        <f t="shared" si="3"/>
        <v>0</v>
      </c>
      <c r="E30" s="79">
        <f t="shared" si="3"/>
        <v>0</v>
      </c>
      <c r="F30" s="79">
        <f t="shared" si="3"/>
        <v>0</v>
      </c>
      <c r="G30" s="197">
        <f t="shared" si="2"/>
        <v>2.5000000000000001E-2</v>
      </c>
      <c r="H30" s="79" t="e">
        <f t="shared" si="2"/>
        <v>#DIV/0!</v>
      </c>
      <c r="I30" s="79">
        <f t="shared" si="2"/>
        <v>2.0408163265306121E-2</v>
      </c>
      <c r="J30" s="79">
        <f t="shared" si="2"/>
        <v>0</v>
      </c>
      <c r="K30" s="79">
        <f t="shared" si="2"/>
        <v>0</v>
      </c>
      <c r="L30" s="79">
        <f t="shared" si="2"/>
        <v>0</v>
      </c>
      <c r="M30" s="79">
        <f t="shared" si="2"/>
        <v>0</v>
      </c>
      <c r="N30" s="79">
        <f t="shared" si="2"/>
        <v>0</v>
      </c>
    </row>
    <row r="31" spans="2:14" x14ac:dyDescent="0.25">
      <c r="B31" s="71" t="s">
        <v>4</v>
      </c>
      <c r="C31" s="98">
        <f t="shared" si="3"/>
        <v>0</v>
      </c>
      <c r="D31" s="98">
        <f t="shared" si="3"/>
        <v>0</v>
      </c>
      <c r="E31" s="98">
        <f t="shared" si="3"/>
        <v>0</v>
      </c>
      <c r="F31" s="98">
        <f t="shared" si="3"/>
        <v>0</v>
      </c>
      <c r="G31" s="196">
        <f t="shared" si="2"/>
        <v>0</v>
      </c>
      <c r="H31" s="98">
        <f t="shared" si="2"/>
        <v>0</v>
      </c>
      <c r="I31" s="98">
        <f t="shared" si="2"/>
        <v>9.0909090909090912E-2</v>
      </c>
      <c r="J31" s="98">
        <f t="shared" si="2"/>
        <v>0</v>
      </c>
      <c r="K31" s="98">
        <f t="shared" si="2"/>
        <v>0</v>
      </c>
      <c r="L31" s="98">
        <f t="shared" si="2"/>
        <v>0</v>
      </c>
      <c r="M31" s="98">
        <f t="shared" si="2"/>
        <v>0</v>
      </c>
      <c r="N31" s="98">
        <f t="shared" si="2"/>
        <v>2.8571428571428571E-2</v>
      </c>
    </row>
    <row r="32" spans="2:14" x14ac:dyDescent="0.25">
      <c r="B32" s="71" t="s">
        <v>5</v>
      </c>
      <c r="C32" s="98">
        <f t="shared" si="3"/>
        <v>1.0638297872340425E-2</v>
      </c>
      <c r="D32" s="98">
        <f t="shared" si="3"/>
        <v>0</v>
      </c>
      <c r="E32" s="98">
        <f t="shared" si="3"/>
        <v>0</v>
      </c>
      <c r="F32" s="98">
        <f t="shared" si="3"/>
        <v>1.6666666666666666E-2</v>
      </c>
      <c r="G32" s="196">
        <f t="shared" si="2"/>
        <v>0</v>
      </c>
      <c r="H32" s="98">
        <f t="shared" si="2"/>
        <v>1.4492753623188406E-2</v>
      </c>
      <c r="I32" s="98">
        <f t="shared" si="2"/>
        <v>0</v>
      </c>
      <c r="J32" s="98">
        <f t="shared" si="2"/>
        <v>0</v>
      </c>
      <c r="K32" s="98">
        <f t="shared" si="2"/>
        <v>0</v>
      </c>
      <c r="L32" s="98">
        <f t="shared" si="2"/>
        <v>5.5865921787709499E-3</v>
      </c>
      <c r="M32" s="98">
        <f t="shared" si="2"/>
        <v>0</v>
      </c>
      <c r="N32" s="98">
        <f t="shared" si="2"/>
        <v>1.3513513513513514E-2</v>
      </c>
    </row>
    <row r="33" spans="2:14" ht="15" thickBot="1" x14ac:dyDescent="0.3">
      <c r="B33" s="94" t="s">
        <v>8</v>
      </c>
      <c r="C33" s="99">
        <f t="shared" si="3"/>
        <v>6.1349693251533744E-3</v>
      </c>
      <c r="D33" s="99">
        <f t="shared" si="3"/>
        <v>2.4449877750611247E-3</v>
      </c>
      <c r="E33" s="99">
        <f t="shared" si="3"/>
        <v>3.0303030303030303E-3</v>
      </c>
      <c r="F33" s="99">
        <f t="shared" si="3"/>
        <v>4.8780487804878049E-3</v>
      </c>
      <c r="G33" s="198">
        <f t="shared" si="3"/>
        <v>3.4782608695652174E-2</v>
      </c>
      <c r="H33" s="99">
        <f>(H23/H13)</f>
        <v>3.7735849056603772E-2</v>
      </c>
      <c r="I33" s="99">
        <f t="shared" si="2"/>
        <v>0.05</v>
      </c>
      <c r="J33" s="99">
        <f t="shared" si="2"/>
        <v>7.1174377224199285E-3</v>
      </c>
      <c r="K33" s="99">
        <f t="shared" si="2"/>
        <v>3.0985915492957747E-2</v>
      </c>
      <c r="L33" s="99">
        <f t="shared" si="2"/>
        <v>3.6900369003690036E-3</v>
      </c>
      <c r="M33" s="99">
        <f t="shared" si="2"/>
        <v>4.5454545454545452E-3</v>
      </c>
      <c r="N33" s="99">
        <f t="shared" si="2"/>
        <v>1.8480492813141684E-2</v>
      </c>
    </row>
    <row r="35" spans="2:14" s="118" customFormat="1" ht="12.75" hidden="1" x14ac:dyDescent="0.25">
      <c r="B35" s="117" t="s">
        <v>66</v>
      </c>
      <c r="C35" s="117" t="s">
        <v>67</v>
      </c>
      <c r="D35" s="353" t="s">
        <v>69</v>
      </c>
      <c r="E35" s="324"/>
      <c r="F35" s="324"/>
      <c r="G35" s="324"/>
      <c r="H35" s="324"/>
      <c r="I35" s="324"/>
      <c r="J35" s="324"/>
      <c r="K35" s="324"/>
      <c r="L35" s="324"/>
      <c r="M35" s="324"/>
      <c r="N35" s="324"/>
    </row>
    <row r="36" spans="2:14" s="122" customFormat="1" ht="41.45" hidden="1" customHeight="1" x14ac:dyDescent="0.25">
      <c r="B36" s="120">
        <v>43712</v>
      </c>
      <c r="C36" s="121" t="s">
        <v>71</v>
      </c>
      <c r="D36" s="326" t="s">
        <v>72</v>
      </c>
      <c r="E36" s="327"/>
      <c r="F36" s="327"/>
      <c r="G36" s="327"/>
      <c r="H36" s="327"/>
      <c r="I36" s="327"/>
      <c r="J36" s="327"/>
      <c r="K36" s="327"/>
      <c r="L36" s="327"/>
      <c r="M36" s="327"/>
      <c r="N36" s="327"/>
    </row>
    <row r="37" spans="2:14" s="122" customFormat="1" ht="41.45" hidden="1" customHeight="1" x14ac:dyDescent="0.25">
      <c r="B37" s="120">
        <v>43816</v>
      </c>
      <c r="C37" s="240" t="s">
        <v>76</v>
      </c>
      <c r="D37" s="326" t="s">
        <v>77</v>
      </c>
      <c r="E37" s="329"/>
      <c r="F37" s="329"/>
      <c r="G37" s="329"/>
      <c r="H37" s="329"/>
      <c r="I37" s="329"/>
      <c r="J37" s="329"/>
      <c r="K37" s="329"/>
      <c r="L37" s="329"/>
      <c r="M37" s="329"/>
      <c r="N37" s="329"/>
    </row>
    <row r="38" spans="2:14" s="122" customFormat="1" ht="93.2" hidden="1" customHeight="1" x14ac:dyDescent="0.25">
      <c r="B38" s="120">
        <v>43866</v>
      </c>
      <c r="C38" s="124" t="s">
        <v>68</v>
      </c>
      <c r="D38" s="320" t="s">
        <v>78</v>
      </c>
      <c r="E38" s="320"/>
      <c r="F38" s="320"/>
      <c r="G38" s="320"/>
      <c r="H38" s="320"/>
      <c r="I38" s="320"/>
      <c r="J38" s="320"/>
      <c r="K38" s="320"/>
      <c r="L38" s="320"/>
      <c r="M38" s="320"/>
      <c r="N38" s="320"/>
    </row>
    <row r="39" spans="2:14" s="122" customFormat="1" ht="80.099999999999994" hidden="1" customHeight="1" x14ac:dyDescent="0.25">
      <c r="B39" s="120">
        <v>43894</v>
      </c>
      <c r="C39" s="124" t="s">
        <v>70</v>
      </c>
      <c r="D39" s="320" t="s">
        <v>79</v>
      </c>
      <c r="E39" s="321"/>
      <c r="F39" s="321"/>
      <c r="G39" s="321"/>
      <c r="H39" s="321"/>
      <c r="I39" s="321"/>
      <c r="J39" s="321"/>
      <c r="K39" s="321"/>
      <c r="L39" s="321"/>
      <c r="M39" s="321"/>
      <c r="N39" s="321"/>
    </row>
    <row r="40" spans="2:14" hidden="1" x14ac:dyDescent="0.25"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0"/>
      <c r="N40" s="100"/>
    </row>
    <row r="41" spans="2:14" x14ac:dyDescent="0.25">
      <c r="B41" s="100"/>
      <c r="C41" s="100"/>
      <c r="D41" s="100"/>
      <c r="E41" s="100"/>
      <c r="F41" s="100"/>
      <c r="G41" s="100"/>
      <c r="H41" s="100"/>
      <c r="I41" s="100"/>
      <c r="J41" s="100"/>
      <c r="K41" s="100"/>
      <c r="L41" s="100"/>
      <c r="M41" s="100"/>
      <c r="N41" s="100"/>
    </row>
    <row r="42" spans="2:14" ht="52.35" hidden="1" customHeight="1" x14ac:dyDescent="0.25">
      <c r="B42" s="101" t="s">
        <v>36</v>
      </c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</row>
    <row r="43" spans="2:14" ht="13.7" hidden="1" customHeight="1" x14ac:dyDescent="0.25">
      <c r="B43" s="103" t="s">
        <v>19</v>
      </c>
      <c r="C43" s="104"/>
      <c r="D43" s="104"/>
      <c r="E43" s="104"/>
      <c r="F43" s="104"/>
      <c r="G43" s="104"/>
      <c r="H43" s="104"/>
      <c r="I43" s="104"/>
      <c r="J43" s="104"/>
      <c r="K43" s="104"/>
      <c r="L43" s="104"/>
      <c r="M43" s="104"/>
      <c r="N43" s="104"/>
    </row>
    <row r="44" spans="2:14" hidden="1" x14ac:dyDescent="0.25">
      <c r="B44" s="105" t="s">
        <v>0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</row>
    <row r="45" spans="2:14" hidden="1" x14ac:dyDescent="0.25">
      <c r="B45" s="105" t="s">
        <v>1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</row>
    <row r="46" spans="2:14" hidden="1" x14ac:dyDescent="0.25">
      <c r="B46" s="105" t="s">
        <v>2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</row>
    <row r="47" spans="2:14" hidden="1" x14ac:dyDescent="0.25">
      <c r="B47" s="107" t="s">
        <v>3</v>
      </c>
      <c r="C47" s="108"/>
      <c r="D47" s="108"/>
      <c r="E47" s="108"/>
      <c r="F47" s="108"/>
      <c r="G47" s="108"/>
      <c r="H47" s="108"/>
      <c r="I47" s="108"/>
      <c r="J47" s="108"/>
      <c r="K47" s="108"/>
      <c r="L47" s="108"/>
      <c r="M47" s="108"/>
      <c r="N47" s="108"/>
    </row>
    <row r="48" spans="2:14" hidden="1" x14ac:dyDescent="0.25">
      <c r="B48" s="109" t="s">
        <v>4</v>
      </c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</row>
    <row r="49" spans="2:14" hidden="1" x14ac:dyDescent="0.25">
      <c r="B49" s="105" t="s">
        <v>5</v>
      </c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</row>
    <row r="50" spans="2:14" x14ac:dyDescent="0.25"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</row>
    <row r="51" spans="2:14" x14ac:dyDescent="0.25"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</row>
    <row r="52" spans="2:14" x14ac:dyDescent="0.25">
      <c r="B52" s="100"/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</row>
    <row r="53" spans="2:14" x14ac:dyDescent="0.25">
      <c r="B53" s="100"/>
      <c r="C53" s="100"/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</row>
  </sheetData>
  <mergeCells count="5">
    <mergeCell ref="D35:N35"/>
    <mergeCell ref="D36:N36"/>
    <mergeCell ref="D37:N37"/>
    <mergeCell ref="D38:N38"/>
    <mergeCell ref="D39:N39"/>
  </mergeCells>
  <conditionalFormatting sqref="C17:N22">
    <cfRule type="cellIs" dxfId="6" priority="4" operator="equal">
      <formula>1</formula>
    </cfRule>
    <cfRule type="cellIs" dxfId="5" priority="5" operator="greaterThan">
      <formula>1</formula>
    </cfRule>
  </conditionalFormatting>
  <conditionalFormatting sqref="C27:N33">
    <cfRule type="cellIs" dxfId="4" priority="2" operator="greaterThan">
      <formula>0.005</formula>
    </cfRule>
    <cfRule type="cellIs" dxfId="3" priority="3" operator="greaterThan">
      <formula>0.5</formula>
    </cfRule>
    <cfRule type="cellIs" dxfId="2" priority="16" operator="lessThan">
      <formula>#REF!</formula>
    </cfRule>
    <cfRule type="cellIs" dxfId="1" priority="17" operator="greaterThan">
      <formula>#REF!</formula>
    </cfRule>
  </conditionalFormatting>
  <conditionalFormatting sqref="C23:N23">
    <cfRule type="cellIs" dxfId="0" priority="1" operator="greaterThan">
      <formula>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Weekly SS7 Data</vt:lpstr>
      <vt:lpstr>Sheet2</vt:lpstr>
      <vt:lpstr>Data</vt:lpstr>
      <vt:lpstr>PN per Tester (2)</vt:lpstr>
      <vt:lpstr>Overall</vt:lpstr>
      <vt:lpstr>Before</vt:lpstr>
      <vt:lpstr>After</vt:lpstr>
      <vt:lpstr>Sheet1</vt:lpstr>
      <vt:lpstr>PN per 13 Oct to 17 Nov</vt:lpstr>
      <vt:lpstr>Tester Configuration</vt:lpstr>
      <vt:lpstr>MTR FPY</vt:lpstr>
      <vt:lpstr>EVALS20015</vt:lpstr>
      <vt:lpstr>Shunt Energy</vt:lpstr>
      <vt:lpstr>Before!Print_Area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Mamalateo Deduyo</dc:creator>
  <cp:lastModifiedBy>Joel Mamalateo Deduyo</cp:lastModifiedBy>
  <cp:lastPrinted>2020-10-20T14:51:56Z</cp:lastPrinted>
  <dcterms:created xsi:type="dcterms:W3CDTF">2020-05-08T03:05:57Z</dcterms:created>
  <dcterms:modified xsi:type="dcterms:W3CDTF">2021-03-01T03:30:48Z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