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lobal_Ops\Commodities Mgmt\Purchasing\Archive\PO\PO 2019\"/>
    </mc:Choice>
  </mc:AlternateContent>
  <xr:revisionPtr revIDLastSave="0" documentId="8_{DC7BDBFA-34AD-4E32-B3B0-6660C190FA32}" xr6:coauthVersionLast="44" xr6:coauthVersionMax="44" xr10:uidLastSave="{00000000-0000-0000-0000-000000000000}"/>
  <bookViews>
    <workbookView xWindow="-28920" yWindow="-3135" windowWidth="29040" windowHeight="16440" xr2:uid="{CE076554-A435-4462-B117-A7481F72E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3" i="1" l="1"/>
  <c r="L13" i="1"/>
  <c r="L7" i="1"/>
  <c r="K5" i="1" l="1"/>
  <c r="L5" i="1" l="1"/>
  <c r="M5" i="1" l="1"/>
  <c r="K12" i="1" l="1"/>
  <c r="K24" i="1" s="1"/>
  <c r="K28" i="1" s="1"/>
  <c r="K13" i="1"/>
  <c r="K7" i="1"/>
  <c r="I12" i="1"/>
  <c r="I14" i="1"/>
  <c r="I13" i="1"/>
  <c r="I7" i="1"/>
  <c r="I5" i="1"/>
  <c r="H13" i="1"/>
  <c r="H5" i="1"/>
  <c r="H7" i="1"/>
  <c r="G12" i="1"/>
  <c r="G7" i="1"/>
  <c r="G13" i="1"/>
  <c r="G5" i="1"/>
  <c r="F13" i="1"/>
  <c r="F5" i="1"/>
  <c r="F14" i="1"/>
  <c r="F7" i="1"/>
  <c r="E9" i="1"/>
  <c r="E14" i="1"/>
  <c r="D9" i="1"/>
  <c r="E13" i="1"/>
  <c r="E7" i="1"/>
  <c r="E5" i="1"/>
  <c r="C12" i="1"/>
  <c r="D12" i="1"/>
  <c r="D13" i="1"/>
  <c r="D7" i="1"/>
  <c r="D5" i="1"/>
  <c r="C7" i="1"/>
  <c r="C13" i="1"/>
  <c r="C5" i="1"/>
  <c r="B5" i="1"/>
  <c r="B14" i="1"/>
  <c r="B13" i="1"/>
  <c r="K14" i="1"/>
  <c r="L14" i="1"/>
  <c r="M14" i="1"/>
  <c r="N13" i="1"/>
  <c r="N14" i="1" s="1"/>
  <c r="C14" i="1"/>
  <c r="D14" i="1"/>
  <c r="G14" i="1"/>
  <c r="H14" i="1"/>
  <c r="J12" i="1"/>
  <c r="J24" i="1" s="1"/>
  <c r="J28" i="1" s="1"/>
  <c r="J29" i="1" s="1"/>
  <c r="J14" i="1"/>
  <c r="M12" i="1"/>
  <c r="L12" i="1"/>
  <c r="H12" i="1"/>
  <c r="F12" i="1"/>
  <c r="E12" i="1"/>
  <c r="B12" i="1"/>
  <c r="M10" i="1"/>
  <c r="L10" i="1"/>
  <c r="K10" i="1"/>
  <c r="J10" i="1"/>
  <c r="I10" i="1"/>
  <c r="H10" i="1"/>
  <c r="G10" i="1"/>
  <c r="F10" i="1"/>
  <c r="E10" i="1"/>
  <c r="D10" i="1"/>
  <c r="C10" i="1"/>
  <c r="B10" i="1"/>
  <c r="N9" i="1"/>
  <c r="N7" i="1"/>
  <c r="N5" i="1"/>
  <c r="N3" i="1"/>
  <c r="N22" i="1"/>
  <c r="N19" i="1"/>
  <c r="N20" i="1"/>
  <c r="N21" i="1"/>
  <c r="N26" i="1"/>
  <c r="M16" i="1"/>
  <c r="L16" i="1"/>
  <c r="K16" i="1"/>
  <c r="J16" i="1"/>
  <c r="I16" i="1"/>
  <c r="H16" i="1"/>
  <c r="G16" i="1"/>
  <c r="F16" i="1"/>
  <c r="E16" i="1"/>
  <c r="D16" i="1"/>
  <c r="C16" i="1"/>
  <c r="M15" i="1"/>
  <c r="L15" i="1"/>
  <c r="K15" i="1"/>
  <c r="J15" i="1"/>
  <c r="I15" i="1"/>
  <c r="H15" i="1"/>
  <c r="G15" i="1"/>
  <c r="F15" i="1"/>
  <c r="E15" i="1"/>
  <c r="D15" i="1"/>
  <c r="C15" i="1"/>
  <c r="B16" i="1"/>
  <c r="B15" i="1"/>
  <c r="N15" i="1"/>
  <c r="N16" i="1"/>
  <c r="F24" i="1"/>
  <c r="F28" i="1"/>
  <c r="I24" i="1"/>
  <c r="I28" i="1"/>
  <c r="H24" i="1"/>
  <c r="H28" i="1"/>
  <c r="G24" i="1"/>
  <c r="G28" i="1"/>
  <c r="E24" i="1"/>
  <c r="E28" i="1"/>
  <c r="D24" i="1"/>
  <c r="D28" i="1"/>
  <c r="C24" i="1"/>
  <c r="C28" i="1"/>
  <c r="B24" i="1"/>
  <c r="B28" i="1"/>
  <c r="B29" i="1"/>
  <c r="C29" i="1"/>
  <c r="D29" i="1"/>
  <c r="E29" i="1"/>
  <c r="F29" i="1"/>
  <c r="G29" i="1"/>
  <c r="H29" i="1"/>
  <c r="I29" i="1"/>
  <c r="K29" i="1" l="1"/>
  <c r="N12" i="1"/>
  <c r="N24" i="1" s="1"/>
  <c r="L24" i="1"/>
  <c r="L28" i="1" s="1"/>
  <c r="M24" i="1"/>
  <c r="M28" i="1" s="1"/>
  <c r="N10" i="1"/>
  <c r="L29" i="1" l="1"/>
  <c r="M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  <author>tc={8871CEE4-9026-40A8-9158-5389F4D126E3}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autopack</t>
        </r>
      </text>
    </comment>
    <comment ref="B13" authorId="0" shapeId="0" xr:uid="{E74FF24A-423D-4BD1-8EB7-6E20D0556225}">
      <text>
        <r>
          <rPr>
            <b/>
            <sz val="9"/>
            <color indexed="81"/>
            <rFont val="Tahoma"/>
            <charset val="1"/>
          </rPr>
          <t>sgdann:
Flex US$327.42 + 1328.04;
Venture 186.85
CEI</t>
        </r>
      </text>
    </comment>
    <comment ref="C13" authorId="0" shapeId="0" xr:uid="{9E548095-3AF0-43B6-AE61-10AA0D874640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 US$547.06;
Venture 170.64
CEI</t>
        </r>
      </text>
    </comment>
    <comment ref="D13" authorId="0" shapeId="0" xr:uid="{95F2795B-8B5F-4E9C-B92E-B32A5569060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 US$59.4;
Venture 176.38
CEI</t>
        </r>
      </text>
    </comment>
    <comment ref="E13" authorId="0" shapeId="0" xr:uid="{C031C782-6866-4E86-BE7D-3A28309A3AC5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2532.1+204.62
Venture: 258.40
</t>
        </r>
      </text>
    </comment>
    <comment ref="F13" authorId="0" shapeId="0" xr:uid="{36182841-6478-413D-993A-B57798109D28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389.09+204.62
Venture: 1065.5</t>
        </r>
      </text>
    </comment>
    <comment ref="G13" authorId="0" shapeId="0" xr:uid="{D059292A-CF02-4165-8320-1FB1F4F7C06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373.58</t>
        </r>
      </text>
    </comment>
    <comment ref="J13" authorId="1" shapeId="0" xr:uid="{EBED353E-9681-4B23-82F8-D991044361FB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Flex US$1004.08
Venture
CEI</t>
        </r>
      </text>
    </comment>
    <comment ref="K13" authorId="0" shapeId="0" xr:uid="{BAF3F823-39EE-4815-BB68-F2103DD79496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Flex: 325.04+381.25
Venture:  433.31</t>
        </r>
      </text>
    </comment>
    <comment ref="B14" authorId="0" shapeId="0" xr:uid="{596EFCBA-C193-465F-A352-767B21D5FA8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+Venture USD160 Transportation
 </t>
        </r>
      </text>
    </comment>
    <comment ref="E14" authorId="0" shapeId="0" xr:uid="{A6322B75-6772-42F0-87C9-33C3779A07FD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Venture: 160
</t>
        </r>
      </text>
    </comment>
    <comment ref="F14" authorId="0" shapeId="0" xr:uid="{B228C524-D8C8-4F34-94DE-29FDB82610EE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Venture: 320</t>
        </r>
      </text>
    </comment>
    <comment ref="K19" authorId="3" shapeId="0" xr:uid="{EED6BCF1-86CC-4E0E-9F50-0C9615B0C3E0}">
      <text>
        <r>
          <rPr>
            <b/>
            <sz val="9"/>
            <color indexed="81"/>
            <rFont val="Tahoma"/>
            <charset val="1"/>
          </rPr>
          <t>Edwin Koh:</t>
        </r>
        <r>
          <rPr>
            <sz val="9"/>
            <color indexed="81"/>
            <rFont val="Tahoma"/>
            <charset val="1"/>
          </rPr>
          <t xml:space="preserve">
Print head replacement - Venture</t>
        </r>
      </text>
    </comment>
    <comment ref="J22" authorId="4" shapeId="0" xr:uid="{8871CEE4-9026-40A8-9158-5389F4D126E3}">
      <text>
        <t>[Threaded comment]
Your version of Excel allows you to read this threaded comment; however, any edits to it will get removed if the file is opened in a newer version of Excel. Learn more: https://go.microsoft.com/fwlink/?linkid=870924
Comment:
    Rework cost of needle carriage</t>
      </text>
    </comment>
  </commentList>
</comments>
</file>

<file path=xl/sharedStrings.xml><?xml version="1.0" encoding="utf-8"?>
<sst xmlns="http://schemas.openxmlformats.org/spreadsheetml/2006/main" count="36" uniqueCount="35">
  <si>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</si>
  <si>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</si>
  <si>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</si>
  <si>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</si>
  <si>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</si>
  <si>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</si>
  <si>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</si>
  <si>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</si>
  <si>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</si>
  <si>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</si>
  <si>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</si>
  <si>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</si>
  <si>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</si>
  <si>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</si>
  <si>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2019</t>
  </si>
  <si>
    <t>Calibration + 10% markup</t>
  </si>
  <si>
    <t>Repair (MRO/External)</t>
  </si>
  <si>
    <t>Chemistry (run rate)</t>
  </si>
  <si>
    <t>Others</t>
  </si>
  <si>
    <t>AOP Actual</t>
  </si>
  <si>
    <t>Delta</t>
  </si>
  <si>
    <t>Crest - Key Point (SGD9,500)</t>
  </si>
  <si>
    <t>Crest - Key Point (SGD15,000)</t>
  </si>
  <si>
    <t>Safety stock for spares</t>
  </si>
  <si>
    <t>Cal adhoc cost - spare &amp; misc</t>
  </si>
  <si>
    <t>Calibration $ to CEI</t>
  </si>
  <si>
    <t>Calibration $ to Flex</t>
  </si>
  <si>
    <t>Calibration $ to Venture</t>
  </si>
  <si>
    <t>Calibration $ to Supplier directly</t>
  </si>
  <si>
    <t>Cumm Delta</t>
  </si>
  <si>
    <t>To include autopack</t>
  </si>
  <si>
    <t>Calibration $ to CEI PCBA</t>
  </si>
  <si>
    <t>Calibration $ to Flex PCBA</t>
  </si>
  <si>
    <t>Calibration $ to Venture PCBA</t>
  </si>
  <si>
    <t>(Cal adhoc cost - spare &amp; misc) +10% markup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</si>
</sst>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5" fillId="0" borderId="2" xfId="1" applyNumberFormat="1" applyFont="1" applyFill="1" applyBorder="1">
      <alignment horizontal="right" vertical="center"/>
    </xf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166" fontId="0" fillId="0" borderId="0" xfId="0" applyNumberFormat="1" applyFill="1"/>
    <xf numFmtId="44" fontId="0" fillId="0" borderId="0" xfId="0" applyNumberFormat="1" applyFont="1" applyFill="1"/>
    <xf numFmtId="44" fontId="1" fillId="0" borderId="0" xfId="0" applyNumberFormat="1" applyFont="1" applyFill="1"/>
    <xf numFmtId="6" fontId="0" fillId="0" borderId="0" xfId="0" applyNumberFormat="1" applyFill="1"/>
    <xf numFmtId="0" fontId="0" fillId="4" borderId="0" xfId="0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dwin Koh" id="{6C7F1AD0-7C7D-4567-8546-C675DF604E35}" userId="S::Edwin_Koh@waters.com::ee3efed2-893a-4546-8b75-d7a5a805c00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2" dT="2019-07-31T06:58:05.29" personId="{6C7F1AD0-7C7D-4567-8546-C675DF604E35}" id="{8871CEE4-9026-40A8-9158-5389F4D126E3}">
    <text>Rework cost of needle carriage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32"/>
  <sheetViews>
    <sheetView tabSelected="1" zoomScaleNormal="100" workbookViewId="0">
      <selection activeCell="N14" sqref="N13:N14"/>
    </sheetView>
  </sheetViews>
  <sheetFormatPr defaultRowHeight="15" x14ac:dyDescent="0.25"/>
  <cols>
    <col min="1" max="1" width="40.42578125" customWidth="1"/>
    <col min="2" max="13" width="12.7109375" customWidth="1"/>
    <col min="14" max="14" width="12.5703125" bestFit="1" customWidth="1"/>
  </cols>
  <sheetData>
    <row r="1" spans="1:15" x14ac:dyDescent="0.25">
      <c r="F1" s="6" t="s">
        <v>30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14</v>
      </c>
    </row>
    <row r="3" spans="1:15" x14ac:dyDescent="0.25">
      <c r="A3" s="7" t="s">
        <v>25</v>
      </c>
      <c r="B3" s="5"/>
      <c r="C3" s="5"/>
      <c r="D3" s="5"/>
      <c r="E3" s="5"/>
      <c r="F3" s="5"/>
      <c r="G3" s="4">
        <v>590.94000000000005</v>
      </c>
      <c r="H3" s="5"/>
      <c r="I3" s="5"/>
      <c r="J3" s="5"/>
      <c r="K3" s="5"/>
      <c r="L3" s="5"/>
      <c r="M3" s="5"/>
      <c r="N3" s="5">
        <f t="shared" ref="N3:N9" si="0">SUM(B3:M3)</f>
        <v>590.94000000000005</v>
      </c>
      <c r="O3" s="9"/>
    </row>
    <row r="4" spans="1:15" x14ac:dyDescent="0.25">
      <c r="A4" s="7" t="s">
        <v>31</v>
      </c>
      <c r="B4" s="5"/>
      <c r="C4" s="5"/>
      <c r="D4" s="5"/>
      <c r="E4" s="5"/>
      <c r="F4" s="5"/>
      <c r="G4" s="5"/>
      <c r="H4" s="5"/>
      <c r="I4" s="5"/>
      <c r="J4" s="5"/>
      <c r="K4" s="5"/>
      <c r="L4" s="4">
        <v>3488.93</v>
      </c>
      <c r="M4" s="5"/>
      <c r="N4" s="5"/>
      <c r="O4" s="9"/>
    </row>
    <row r="5" spans="1:15" x14ac:dyDescent="0.25">
      <c r="A5" s="7" t="s">
        <v>26</v>
      </c>
      <c r="B5" s="4">
        <f>577.2*1.05+538.35</f>
        <v>1144.4100000000001</v>
      </c>
      <c r="C5" s="4">
        <f>705.53*1.05+565.48</f>
        <v>1306.2865000000002</v>
      </c>
      <c r="D5" s="4">
        <f>563.1*1.05+209.74</f>
        <v>800.995</v>
      </c>
      <c r="E5" s="4">
        <f>873.7*1.05+478.05</f>
        <v>1395.4350000000002</v>
      </c>
      <c r="F5" s="4">
        <f>435.82*1.05+176.6+1209.72*1.05</f>
        <v>1904.4170000000001</v>
      </c>
      <c r="G5" s="4">
        <f>765.1*1.05+289.39+126.32</f>
        <v>1219.0649999999998</v>
      </c>
      <c r="H5" s="4">
        <f>1187.61*1.05+288.21</f>
        <v>1535.2004999999999</v>
      </c>
      <c r="I5" s="4">
        <f>141.94*1.05+2003.4</f>
        <v>2152.4369999999999</v>
      </c>
      <c r="J5" s="4">
        <v>1011.5</v>
      </c>
      <c r="K5" s="4">
        <f>607.77</f>
        <v>607.77</v>
      </c>
      <c r="L5" s="4">
        <f>425.82*1.05</f>
        <v>447.11099999999999</v>
      </c>
      <c r="M5" s="4">
        <f>421.16*1.05+738.25</f>
        <v>1180.4680000000001</v>
      </c>
      <c r="N5" s="5">
        <f t="shared" si="0"/>
        <v>14705.095000000003</v>
      </c>
      <c r="O5" s="9"/>
    </row>
    <row r="6" spans="1:15" x14ac:dyDescent="0.25">
      <c r="A6" s="7" t="s">
        <v>32</v>
      </c>
      <c r="B6" s="5"/>
      <c r="C6" s="5"/>
      <c r="D6" s="4">
        <v>481.48</v>
      </c>
      <c r="E6" s="5"/>
      <c r="F6" s="5"/>
      <c r="G6" s="4">
        <v>618.03</v>
      </c>
      <c r="H6" s="5"/>
      <c r="I6" s="5"/>
      <c r="J6" s="4">
        <v>303.98</v>
      </c>
      <c r="K6" s="5"/>
      <c r="L6" s="5"/>
      <c r="M6" s="5"/>
      <c r="N6" s="5"/>
      <c r="O6" s="9"/>
    </row>
    <row r="7" spans="1:15" x14ac:dyDescent="0.25">
      <c r="A7" s="7" t="s">
        <v>27</v>
      </c>
      <c r="B7" s="4">
        <v>494.4</v>
      </c>
      <c r="C7" s="4">
        <f>240+3324</f>
        <v>3564</v>
      </c>
      <c r="D7" s="4">
        <f>1436+185</f>
        <v>1621</v>
      </c>
      <c r="E7" s="4">
        <f>2789</f>
        <v>2789</v>
      </c>
      <c r="F7" s="4">
        <f>2327</f>
        <v>2327</v>
      </c>
      <c r="G7" s="4">
        <f>315.2+258.4</f>
        <v>573.59999999999991</v>
      </c>
      <c r="H7" s="4">
        <f>384+350+250</f>
        <v>984</v>
      </c>
      <c r="I7" s="4">
        <f>432+920.16</f>
        <v>1352.1599999999999</v>
      </c>
      <c r="J7" s="4">
        <v>0</v>
      </c>
      <c r="K7" s="4">
        <f>1140</f>
        <v>1140</v>
      </c>
      <c r="L7" s="4">
        <f>778+612</f>
        <v>1390</v>
      </c>
      <c r="M7" s="4">
        <v>0</v>
      </c>
      <c r="N7" s="5">
        <f t="shared" si="0"/>
        <v>16235.16</v>
      </c>
      <c r="O7" s="9"/>
    </row>
    <row r="8" spans="1:15" x14ac:dyDescent="0.25">
      <c r="A8" s="7" t="s">
        <v>33</v>
      </c>
      <c r="B8" s="5"/>
      <c r="C8" s="5"/>
      <c r="D8" s="5"/>
      <c r="E8" s="5"/>
      <c r="F8" s="5"/>
      <c r="G8" s="5"/>
      <c r="H8" s="5"/>
      <c r="I8" s="5"/>
      <c r="J8" s="4">
        <v>720</v>
      </c>
      <c r="K8" s="4">
        <v>344</v>
      </c>
      <c r="L8" s="5"/>
      <c r="M8" s="5"/>
      <c r="N8" s="5"/>
      <c r="O8" s="9"/>
    </row>
    <row r="9" spans="1:15" x14ac:dyDescent="0.25">
      <c r="A9" s="8" t="s">
        <v>28</v>
      </c>
      <c r="B9" s="5"/>
      <c r="C9" s="5">
        <v>1184.1300000000001</v>
      </c>
      <c r="D9" s="5">
        <f>2105.59+756.82+1085.82</f>
        <v>3948.2300000000005</v>
      </c>
      <c r="E9" s="5">
        <f>7320</f>
        <v>7320</v>
      </c>
      <c r="F9" s="5"/>
      <c r="G9" s="5"/>
      <c r="H9" s="5"/>
      <c r="I9" s="5"/>
      <c r="J9" s="5"/>
      <c r="K9" s="5"/>
      <c r="L9" s="5">
        <v>2000</v>
      </c>
      <c r="M9" s="5"/>
      <c r="N9" s="5">
        <f t="shared" si="0"/>
        <v>14452.36</v>
      </c>
      <c r="O9" s="9"/>
    </row>
    <row r="10" spans="1:15" x14ac:dyDescent="0.25">
      <c r="A10" s="8" t="s">
        <v>13</v>
      </c>
      <c r="B10" s="5">
        <f>SUM(B3:B9)</f>
        <v>1638.81</v>
      </c>
      <c r="C10" s="5">
        <f t="shared" ref="C10:M10" si="1">SUM(C3:C9)</f>
        <v>6054.4165000000003</v>
      </c>
      <c r="D10" s="5">
        <f t="shared" si="1"/>
        <v>6851.7049999999999</v>
      </c>
      <c r="E10" s="5">
        <f t="shared" si="1"/>
        <v>11504.435000000001</v>
      </c>
      <c r="F10" s="5">
        <f t="shared" si="1"/>
        <v>4231.4170000000004</v>
      </c>
      <c r="G10" s="5">
        <f t="shared" si="1"/>
        <v>3001.6349999999998</v>
      </c>
      <c r="H10" s="5">
        <f t="shared" si="1"/>
        <v>2519.2004999999999</v>
      </c>
      <c r="I10" s="5">
        <f t="shared" si="1"/>
        <v>3504.5969999999998</v>
      </c>
      <c r="J10" s="5">
        <f t="shared" si="1"/>
        <v>2035.48</v>
      </c>
      <c r="K10" s="5">
        <f t="shared" si="1"/>
        <v>2091.77</v>
      </c>
      <c r="L10" s="5">
        <f t="shared" si="1"/>
        <v>7326.0409999999993</v>
      </c>
      <c r="M10" s="5">
        <f t="shared" si="1"/>
        <v>1180.4680000000001</v>
      </c>
      <c r="N10" s="5">
        <f t="shared" ref="N10" si="2">SUM(B10:M10)</f>
        <v>51939.975000000006</v>
      </c>
      <c r="O10" s="9"/>
    </row>
    <row r="11" spans="1:1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x14ac:dyDescent="0.25">
      <c r="A12" s="14" t="s">
        <v>15</v>
      </c>
      <c r="B12" s="5">
        <f t="shared" ref="B12:H12" si="3">(B3+B5+B7)*1.1+B9</f>
        <v>1802.691</v>
      </c>
      <c r="C12" s="5">
        <f>(C3+C5+C7)*1.1+C9</f>
        <v>6541.4451500000005</v>
      </c>
      <c r="D12" s="5">
        <f>(D3+D5+D7)*1.1+D9+D6</f>
        <v>7093.9045000000006</v>
      </c>
      <c r="E12" s="5">
        <f t="shared" si="3"/>
        <v>11922.878500000001</v>
      </c>
      <c r="F12" s="5">
        <f t="shared" si="3"/>
        <v>4654.5587000000005</v>
      </c>
      <c r="G12" s="5">
        <f>(G3+G5+G7)*1.1+G9+G6</f>
        <v>3239.9955</v>
      </c>
      <c r="H12" s="5">
        <f t="shared" si="3"/>
        <v>2771.1205500000001</v>
      </c>
      <c r="I12" s="5">
        <f>(I3+I5+I7)*1.1+I9</f>
        <v>3855.0567000000001</v>
      </c>
      <c r="J12" s="5">
        <f>(J3+J5+J7+J8)*1.1+J9+J6</f>
        <v>2208.63</v>
      </c>
      <c r="K12" s="5">
        <f>(K3+K5+K7)*1.1+K9+K8</f>
        <v>2266.547</v>
      </c>
      <c r="L12" s="5">
        <f t="shared" ref="L12:N12" si="4">(L3+L5+L7)*1.1+L9</f>
        <v>4020.8221000000003</v>
      </c>
      <c r="M12" s="5">
        <f t="shared" si="4"/>
        <v>1298.5148000000002</v>
      </c>
      <c r="N12" s="5">
        <f t="shared" si="4"/>
        <v>49136.674500000008</v>
      </c>
      <c r="O12" s="9"/>
    </row>
    <row r="13" spans="1:15" x14ac:dyDescent="0.25">
      <c r="A13" s="7" t="s">
        <v>24</v>
      </c>
      <c r="B13" s="4">
        <f>186.85+327.42+1328.04</f>
        <v>1842.31</v>
      </c>
      <c r="C13" s="4">
        <f>547.06+170.64</f>
        <v>717.69999999999993</v>
      </c>
      <c r="D13" s="4">
        <f>59.4+176.38</f>
        <v>235.78</v>
      </c>
      <c r="E13" s="4">
        <f>2532.1+204.62+258.4</f>
        <v>2995.12</v>
      </c>
      <c r="F13" s="4">
        <f>389.09+204.62+ 1065.5</f>
        <v>1659.21</v>
      </c>
      <c r="G13" s="4">
        <f>373.58</f>
        <v>373.58</v>
      </c>
      <c r="H13" s="4">
        <f>324.1+645.11</f>
        <v>969.21</v>
      </c>
      <c r="I13" s="4">
        <f>320.49+3754.08</f>
        <v>4074.5699999999997</v>
      </c>
      <c r="J13" s="4">
        <v>1004.08</v>
      </c>
      <c r="K13" s="4">
        <f>325.04+381.25+ 433.31</f>
        <v>1139.5999999999999</v>
      </c>
      <c r="L13" s="4">
        <f>9.55+442.4</f>
        <v>451.95</v>
      </c>
      <c r="M13" s="4">
        <f>585.02+958.94+5465.66</f>
        <v>7009.62</v>
      </c>
      <c r="N13" s="5">
        <f>SUM(B13:M13)</f>
        <v>22472.73</v>
      </c>
      <c r="O13" s="9"/>
    </row>
    <row r="14" spans="1:15" x14ac:dyDescent="0.25">
      <c r="A14" s="14" t="s">
        <v>34</v>
      </c>
      <c r="B14" s="4">
        <f>B13*1.1+160</f>
        <v>2186.5410000000002</v>
      </c>
      <c r="C14" s="4">
        <f t="shared" ref="C14:N14" si="5">C13*1.1</f>
        <v>789.47</v>
      </c>
      <c r="D14" s="4">
        <f t="shared" si="5"/>
        <v>259.358</v>
      </c>
      <c r="E14" s="4">
        <f>E13*1.1+160</f>
        <v>3454.6320000000001</v>
      </c>
      <c r="F14" s="4">
        <f>F13*1.1+320</f>
        <v>2145.1310000000003</v>
      </c>
      <c r="G14" s="4">
        <f t="shared" si="5"/>
        <v>410.93799999999999</v>
      </c>
      <c r="H14" s="4">
        <f t="shared" si="5"/>
        <v>1066.1310000000001</v>
      </c>
      <c r="I14" s="4">
        <f>I13*1.1+240</f>
        <v>4722.027</v>
      </c>
      <c r="J14" s="4">
        <f t="shared" si="5"/>
        <v>1104.4880000000001</v>
      </c>
      <c r="K14" s="4">
        <f t="shared" si="5"/>
        <v>1253.56</v>
      </c>
      <c r="L14" s="4">
        <f t="shared" si="5"/>
        <v>497.14500000000004</v>
      </c>
      <c r="M14" s="4">
        <f t="shared" si="5"/>
        <v>7710.5820000000003</v>
      </c>
      <c r="N14" s="5">
        <f t="shared" si="5"/>
        <v>24720.003000000001</v>
      </c>
      <c r="O14" s="9"/>
    </row>
    <row r="15" spans="1:15" x14ac:dyDescent="0.25">
      <c r="A15" s="8" t="s">
        <v>21</v>
      </c>
      <c r="B15" s="5">
        <f>9500/1.36/12</f>
        <v>582.10784313725492</v>
      </c>
      <c r="C15" s="5">
        <f t="shared" ref="C15:M15" si="6">9500/1.36/12</f>
        <v>582.10784313725492</v>
      </c>
      <c r="D15" s="5">
        <f t="shared" si="6"/>
        <v>582.10784313725492</v>
      </c>
      <c r="E15" s="5">
        <f t="shared" si="6"/>
        <v>582.10784313725492</v>
      </c>
      <c r="F15" s="5">
        <f t="shared" si="6"/>
        <v>582.10784313725492</v>
      </c>
      <c r="G15" s="5">
        <f t="shared" si="6"/>
        <v>582.10784313725492</v>
      </c>
      <c r="H15" s="5">
        <f t="shared" si="6"/>
        <v>582.10784313725492</v>
      </c>
      <c r="I15" s="5">
        <f t="shared" si="6"/>
        <v>582.10784313725492</v>
      </c>
      <c r="J15" s="5">
        <f t="shared" si="6"/>
        <v>582.10784313725492</v>
      </c>
      <c r="K15" s="5">
        <f t="shared" si="6"/>
        <v>582.10784313725492</v>
      </c>
      <c r="L15" s="5">
        <f t="shared" si="6"/>
        <v>582.10784313725492</v>
      </c>
      <c r="M15" s="5">
        <f t="shared" si="6"/>
        <v>582.10784313725492</v>
      </c>
      <c r="N15" s="5">
        <f>SUM(B15:M15)</f>
        <v>6985.2941176470604</v>
      </c>
      <c r="O15" s="9"/>
    </row>
    <row r="16" spans="1:15" x14ac:dyDescent="0.25">
      <c r="A16" s="8" t="s">
        <v>22</v>
      </c>
      <c r="B16" s="5">
        <f>15000/1.36/12</f>
        <v>919.11764705882342</v>
      </c>
      <c r="C16" s="5">
        <f t="shared" ref="C16:M16" si="7">15000/1.36/12</f>
        <v>919.11764705882342</v>
      </c>
      <c r="D16" s="5">
        <f t="shared" si="7"/>
        <v>919.11764705882342</v>
      </c>
      <c r="E16" s="5">
        <f t="shared" si="7"/>
        <v>919.11764705882342</v>
      </c>
      <c r="F16" s="5">
        <f t="shared" si="7"/>
        <v>919.11764705882342</v>
      </c>
      <c r="G16" s="5">
        <f t="shared" si="7"/>
        <v>919.11764705882342</v>
      </c>
      <c r="H16" s="5">
        <f t="shared" si="7"/>
        <v>919.11764705882342</v>
      </c>
      <c r="I16" s="5">
        <f t="shared" si="7"/>
        <v>919.11764705882342</v>
      </c>
      <c r="J16" s="5">
        <f t="shared" si="7"/>
        <v>919.11764705882342</v>
      </c>
      <c r="K16" s="5">
        <f t="shared" si="7"/>
        <v>919.11764705882342</v>
      </c>
      <c r="L16" s="5">
        <f t="shared" si="7"/>
        <v>919.11764705882342</v>
      </c>
      <c r="M16" s="5">
        <f t="shared" si="7"/>
        <v>919.11764705882342</v>
      </c>
      <c r="N16" s="5">
        <f>SUM(B16:M16)</f>
        <v>11029.411764705881</v>
      </c>
      <c r="O16" s="9"/>
    </row>
    <row r="17" spans="1:15" x14ac:dyDescent="0.25">
      <c r="A17" s="8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9"/>
    </row>
    <row r="18" spans="1:15" x14ac:dyDescent="0.25">
      <c r="A18" s="8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9"/>
    </row>
    <row r="19" spans="1:15" x14ac:dyDescent="0.25">
      <c r="A19" s="8" t="s">
        <v>16</v>
      </c>
      <c r="B19" s="10">
        <v>1560.92</v>
      </c>
      <c r="C19" s="10">
        <v>278.2</v>
      </c>
      <c r="D19" s="10"/>
      <c r="E19" s="10">
        <v>981.35</v>
      </c>
      <c r="F19" s="10">
        <v>1480.2</v>
      </c>
      <c r="G19" s="10">
        <v>1480.2</v>
      </c>
      <c r="H19" s="10">
        <v>1000</v>
      </c>
      <c r="I19" s="10">
        <v>1000</v>
      </c>
      <c r="J19" s="10">
        <v>1000</v>
      </c>
      <c r="K19" s="10">
        <v>1065.22</v>
      </c>
      <c r="L19" s="10">
        <v>1000</v>
      </c>
      <c r="M19" s="10">
        <v>1000</v>
      </c>
      <c r="N19" s="5">
        <f t="shared" ref="N19:N22" si="8">SUM(B19:M19)</f>
        <v>11846.089999999998</v>
      </c>
      <c r="O19" s="9"/>
    </row>
    <row r="20" spans="1:15" x14ac:dyDescent="0.25">
      <c r="A20" s="8" t="s">
        <v>17</v>
      </c>
      <c r="B20" s="10">
        <v>400</v>
      </c>
      <c r="C20" s="10">
        <v>400</v>
      </c>
      <c r="D20" s="10">
        <v>400</v>
      </c>
      <c r="E20" s="10">
        <v>1000</v>
      </c>
      <c r="F20" s="10">
        <v>2520</v>
      </c>
      <c r="G20" s="10">
        <v>2520</v>
      </c>
      <c r="H20" s="10">
        <v>2520</v>
      </c>
      <c r="I20" s="10">
        <v>2520</v>
      </c>
      <c r="J20" s="10">
        <v>2520</v>
      </c>
      <c r="K20" s="10">
        <v>2520</v>
      </c>
      <c r="L20" s="10">
        <v>2520</v>
      </c>
      <c r="M20" s="10">
        <v>2520</v>
      </c>
      <c r="N20" s="5">
        <f t="shared" si="8"/>
        <v>22360</v>
      </c>
      <c r="O20" s="9"/>
    </row>
    <row r="21" spans="1:15" x14ac:dyDescent="0.25">
      <c r="A21" s="8" t="s">
        <v>23</v>
      </c>
      <c r="B21" s="9"/>
      <c r="C21" s="9"/>
      <c r="D21" s="10">
        <v>5881.74</v>
      </c>
      <c r="E21" s="10">
        <v>8661.32</v>
      </c>
      <c r="F21" s="9"/>
      <c r="G21" s="11">
        <v>0</v>
      </c>
      <c r="H21" s="12">
        <v>2000</v>
      </c>
      <c r="I21" s="12">
        <v>2000</v>
      </c>
      <c r="J21" s="12">
        <v>8000</v>
      </c>
      <c r="K21" s="12">
        <v>1500</v>
      </c>
      <c r="L21" s="12">
        <v>3000</v>
      </c>
      <c r="M21" s="12">
        <v>8000</v>
      </c>
      <c r="N21" s="5">
        <f t="shared" si="8"/>
        <v>39043.06</v>
      </c>
      <c r="O21" s="9"/>
    </row>
    <row r="22" spans="1:15" x14ac:dyDescent="0.25">
      <c r="A22" s="8" t="s">
        <v>18</v>
      </c>
      <c r="B22" s="9"/>
      <c r="C22" s="9">
        <v>1662.6</v>
      </c>
      <c r="D22" s="9">
        <v>372.47</v>
      </c>
      <c r="E22" s="9"/>
      <c r="F22" s="9"/>
      <c r="G22" s="9"/>
      <c r="H22" s="9"/>
      <c r="I22" s="9"/>
      <c r="J22" s="13">
        <v>9400</v>
      </c>
      <c r="K22" s="5">
        <v>23000</v>
      </c>
      <c r="L22" s="9"/>
      <c r="M22" s="9"/>
      <c r="N22" s="5">
        <f t="shared" si="8"/>
        <v>34435.07</v>
      </c>
      <c r="O22" s="9"/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8" t="s">
        <v>13</v>
      </c>
      <c r="B24" s="5">
        <f t="shared" ref="B24:N24" si="9">SUM(B12:B22)</f>
        <v>9293.68749019608</v>
      </c>
      <c r="C24" s="5">
        <f t="shared" si="9"/>
        <v>11890.640640196079</v>
      </c>
      <c r="D24" s="5">
        <f t="shared" si="9"/>
        <v>15744.477990196079</v>
      </c>
      <c r="E24" s="5">
        <f t="shared" si="9"/>
        <v>30516.525990196082</v>
      </c>
      <c r="F24" s="5">
        <f t="shared" si="9"/>
        <v>13960.325190196081</v>
      </c>
      <c r="G24" s="5">
        <f t="shared" si="9"/>
        <v>9525.9389901960785</v>
      </c>
      <c r="H24" s="5">
        <f t="shared" si="9"/>
        <v>11827.687040196079</v>
      </c>
      <c r="I24" s="5">
        <f t="shared" si="9"/>
        <v>19672.879190196079</v>
      </c>
      <c r="J24" s="5">
        <f t="shared" si="9"/>
        <v>26738.423490196081</v>
      </c>
      <c r="K24" s="5">
        <f t="shared" si="9"/>
        <v>34246.15249019608</v>
      </c>
      <c r="L24" s="5">
        <f t="shared" si="9"/>
        <v>12991.142590196079</v>
      </c>
      <c r="M24" s="5">
        <f t="shared" si="9"/>
        <v>29039.942290196079</v>
      </c>
      <c r="N24" s="5">
        <f t="shared" si="9"/>
        <v>222028.33338235295</v>
      </c>
      <c r="O24" s="9"/>
    </row>
    <row r="25" spans="1: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8" t="s">
        <v>19</v>
      </c>
      <c r="B26" s="5">
        <v>6145</v>
      </c>
      <c r="C26" s="5">
        <v>11504</v>
      </c>
      <c r="D26" s="5">
        <v>15957</v>
      </c>
      <c r="E26" s="5">
        <v>16476</v>
      </c>
      <c r="F26" s="3">
        <v>16153.4</v>
      </c>
      <c r="G26" s="3">
        <v>10500</v>
      </c>
      <c r="H26" s="3">
        <v>8381</v>
      </c>
      <c r="I26" s="3">
        <v>13000</v>
      </c>
      <c r="J26" s="3">
        <v>20000</v>
      </c>
      <c r="K26" s="3">
        <v>33000</v>
      </c>
      <c r="L26" s="3">
        <v>12000</v>
      </c>
      <c r="M26" s="3">
        <v>15000</v>
      </c>
      <c r="N26" s="5">
        <f>SUM(B26:M26)</f>
        <v>178116.4</v>
      </c>
      <c r="O26" s="9"/>
    </row>
    <row r="27" spans="1: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A28" s="9" t="s">
        <v>20</v>
      </c>
      <c r="B28" s="5">
        <f>B24-B26</f>
        <v>3148.68749019608</v>
      </c>
      <c r="C28" s="5">
        <f t="shared" ref="C28:M28" si="10">C24-C26</f>
        <v>386.6406401960794</v>
      </c>
      <c r="D28" s="5">
        <f t="shared" si="10"/>
        <v>-212.52200980392081</v>
      </c>
      <c r="E28" s="5">
        <f t="shared" si="10"/>
        <v>14040.525990196082</v>
      </c>
      <c r="F28" s="5">
        <f t="shared" si="10"/>
        <v>-2193.0748098039185</v>
      </c>
      <c r="G28" s="5">
        <f t="shared" si="10"/>
        <v>-974.06100980392148</v>
      </c>
      <c r="H28" s="5">
        <f t="shared" si="10"/>
        <v>3446.6870401960787</v>
      </c>
      <c r="I28" s="5">
        <f t="shared" si="10"/>
        <v>6672.8791901960794</v>
      </c>
      <c r="J28" s="5">
        <f t="shared" si="10"/>
        <v>6738.4234901960808</v>
      </c>
      <c r="K28" s="5">
        <f t="shared" si="10"/>
        <v>1246.1524901960802</v>
      </c>
      <c r="L28" s="5">
        <f t="shared" si="10"/>
        <v>991.14259019607925</v>
      </c>
      <c r="M28" s="5">
        <f t="shared" si="10"/>
        <v>14039.942290196079</v>
      </c>
      <c r="N28" s="5"/>
      <c r="O28" s="9"/>
    </row>
    <row r="29" spans="1:15" x14ac:dyDescent="0.25">
      <c r="A29" s="9" t="s">
        <v>29</v>
      </c>
      <c r="B29" s="5">
        <f>B28</f>
        <v>3148.68749019608</v>
      </c>
      <c r="C29" s="5">
        <f>B29+C28</f>
        <v>3535.3281303921594</v>
      </c>
      <c r="D29" s="5">
        <f>C29+D28</f>
        <v>3322.8061205882386</v>
      </c>
      <c r="E29" s="5">
        <f>D29+E28</f>
        <v>17363.332110784322</v>
      </c>
      <c r="F29" s="5">
        <f>E29+F28</f>
        <v>15170.257300980404</v>
      </c>
      <c r="G29" s="5">
        <f>F29+G28</f>
        <v>14196.196291176482</v>
      </c>
      <c r="H29" s="5">
        <f t="shared" ref="H29:M29" si="11">G29+H28</f>
        <v>17642.883331372563</v>
      </c>
      <c r="I29" s="5">
        <f t="shared" si="11"/>
        <v>24315.762521568642</v>
      </c>
      <c r="J29" s="5">
        <f t="shared" si="11"/>
        <v>31054.186011764723</v>
      </c>
      <c r="K29" s="5">
        <f t="shared" si="11"/>
        <v>32300.338501960803</v>
      </c>
      <c r="L29" s="5">
        <f t="shared" si="11"/>
        <v>33291.481092156886</v>
      </c>
      <c r="M29" s="5">
        <f t="shared" si="11"/>
        <v>47331.423382352965</v>
      </c>
      <c r="N29" s="9"/>
      <c r="O29" s="9"/>
    </row>
    <row r="30" spans="1: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2020-01-28T05:55:06Z</dcterms:modified>
</cp:coreProperties>
</file>