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lobal_Ops\Commodities Mgmt\Purchasing\Indirect\PO\"/>
    </mc:Choice>
  </mc:AlternateContent>
  <xr:revisionPtr revIDLastSave="0" documentId="8_{34B64976-3221-41D9-8D8A-F3A06DC595D2}" xr6:coauthVersionLast="44" xr6:coauthVersionMax="44" xr10:uidLastSave="{00000000-0000-0000-0000-000000000000}"/>
  <bookViews>
    <workbookView xWindow="-108" yWindow="-108" windowWidth="23256" windowHeight="12576" xr2:uid="{CE076554-A435-4462-B117-A7481F72E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7" i="1" l="1"/>
  <c r="E17" i="1"/>
  <c r="C17" i="1"/>
  <c r="N18" i="1" l="1"/>
  <c r="E14" i="1" l="1"/>
  <c r="F14" i="1"/>
  <c r="I14" i="1"/>
  <c r="N17" i="1" l="1"/>
  <c r="L13" i="1" l="1"/>
  <c r="M5" i="1" l="1"/>
  <c r="K13" i="1" l="1"/>
  <c r="K11" i="1"/>
  <c r="K24" i="1" s="1"/>
  <c r="K28" i="1" s="1"/>
  <c r="I5" i="1"/>
  <c r="I10" i="1" s="1"/>
  <c r="H13" i="1"/>
  <c r="G13" i="1"/>
  <c r="G14" i="1" s="1"/>
  <c r="G10" i="1"/>
  <c r="F13" i="1"/>
  <c r="N9" i="1"/>
  <c r="E11" i="1"/>
  <c r="D13" i="1"/>
  <c r="D14" i="1" s="1"/>
  <c r="D11" i="1"/>
  <c r="D24" i="1" s="1"/>
  <c r="D28" i="1" s="1"/>
  <c r="C11" i="1"/>
  <c r="C13" i="1"/>
  <c r="C14" i="1" s="1"/>
  <c r="B5" i="1"/>
  <c r="B13" i="1"/>
  <c r="B14" i="1" s="1"/>
  <c r="B24" i="1" s="1"/>
  <c r="B28" i="1" s="1"/>
  <c r="B29" i="1" s="1"/>
  <c r="K14" i="1"/>
  <c r="L14" i="1"/>
  <c r="M14" i="1"/>
  <c r="N13" i="1"/>
  <c r="N14" i="1" s="1"/>
  <c r="H14" i="1"/>
  <c r="J11" i="1"/>
  <c r="J14" i="1"/>
  <c r="M11" i="1"/>
  <c r="L11" i="1"/>
  <c r="H11" i="1"/>
  <c r="H24" i="1" s="1"/>
  <c r="H28" i="1" s="1"/>
  <c r="F11" i="1"/>
  <c r="B11" i="1"/>
  <c r="M10" i="1"/>
  <c r="L10" i="1"/>
  <c r="K10" i="1"/>
  <c r="J10" i="1"/>
  <c r="H10" i="1"/>
  <c r="F10" i="1"/>
  <c r="D10" i="1"/>
  <c r="C10" i="1"/>
  <c r="B10" i="1"/>
  <c r="N3" i="1"/>
  <c r="N22" i="1"/>
  <c r="N19" i="1"/>
  <c r="N20" i="1"/>
  <c r="N21" i="1"/>
  <c r="N26" i="1"/>
  <c r="M16" i="1"/>
  <c r="L16" i="1"/>
  <c r="K16" i="1"/>
  <c r="J16" i="1"/>
  <c r="I16" i="1"/>
  <c r="H16" i="1"/>
  <c r="G16" i="1"/>
  <c r="F16" i="1"/>
  <c r="E16" i="1"/>
  <c r="D16" i="1"/>
  <c r="C16" i="1"/>
  <c r="M15" i="1"/>
  <c r="L15" i="1"/>
  <c r="K15" i="1"/>
  <c r="J15" i="1"/>
  <c r="I15" i="1"/>
  <c r="H15" i="1"/>
  <c r="G15" i="1"/>
  <c r="F15" i="1"/>
  <c r="E15" i="1"/>
  <c r="D15" i="1"/>
  <c r="C15" i="1"/>
  <c r="B16" i="1"/>
  <c r="N16" i="1" s="1"/>
  <c r="B15" i="1"/>
  <c r="N15" i="1" s="1"/>
  <c r="E24" i="1" l="1"/>
  <c r="E28" i="1" s="1"/>
  <c r="C24" i="1"/>
  <c r="C28" i="1" s="1"/>
  <c r="C29" i="1" s="1"/>
  <c r="D29" i="1" s="1"/>
  <c r="E10" i="1"/>
  <c r="N10" i="1" s="1"/>
  <c r="J24" i="1"/>
  <c r="J28" i="1" s="1"/>
  <c r="F24" i="1"/>
  <c r="F28" i="1" s="1"/>
  <c r="G11" i="1"/>
  <c r="G24" i="1" s="1"/>
  <c r="G28" i="1" s="1"/>
  <c r="I11" i="1"/>
  <c r="I24" i="1" s="1"/>
  <c r="I28" i="1" s="1"/>
  <c r="N5" i="1"/>
  <c r="N7" i="1"/>
  <c r="L24" i="1"/>
  <c r="L28" i="1" s="1"/>
  <c r="M24" i="1"/>
  <c r="M28" i="1" s="1"/>
  <c r="E29" i="1" l="1"/>
  <c r="F29" i="1" s="1"/>
  <c r="G29" i="1" s="1"/>
  <c r="H29" i="1" s="1"/>
  <c r="I29" i="1" s="1"/>
  <c r="J29" i="1" s="1"/>
  <c r="K29" i="1" s="1"/>
  <c r="L29" i="1" s="1"/>
  <c r="M29" i="1" s="1"/>
  <c r="N11" i="1"/>
  <c r="N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  <author>sgdann</author>
    <author>Edwin Koh</author>
    <author>sgyyso</author>
  </authors>
  <commentList>
    <comment ref="B5" authorId="0" shapeId="0" xr:uid="{32C3A603-6D07-4BDB-9047-36754689A7B3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Internal: 577.20 +5% SG&amp;A
External: 538.35</t>
        </r>
      </text>
    </comment>
    <comment ref="A6" authorId="1" shapeId="0" xr:uid="{A73DFFFE-0055-4A35-8530-BC8FC2C35AD5}">
      <text>
        <r>
          <rPr>
            <b/>
            <sz val="9"/>
            <color indexed="81"/>
            <rFont val="Tahoma"/>
            <family val="2"/>
          </rPr>
          <t>sgdann:</t>
        </r>
        <r>
          <rPr>
            <sz val="9"/>
            <color indexed="81"/>
            <rFont val="Tahoma"/>
            <family val="2"/>
          </rPr>
          <t xml:space="preserve">
No 10% markup for Fle Senai</t>
        </r>
      </text>
    </comment>
    <comment ref="D7" authorId="2" shapeId="0" xr:uid="{268A2C9D-F1DE-4956-AFA3-14893C983B14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Back claims Jan from Venture not under contract. </t>
        </r>
      </text>
    </comment>
    <comment ref="L9" authorId="3" shapeId="0" xr:uid="{C5E0C93C-9DBD-40D2-B631-2BEE19D48D96}">
      <text>
        <r>
          <rPr>
            <b/>
            <sz val="9"/>
            <color indexed="81"/>
            <rFont val="Tahoma"/>
            <family val="2"/>
          </rPr>
          <t>sgyyso:</t>
        </r>
        <r>
          <rPr>
            <sz val="9"/>
            <color indexed="81"/>
            <rFont val="Tahoma"/>
            <family val="2"/>
          </rPr>
          <t xml:space="preserve">
autopack</t>
        </r>
      </text>
    </comment>
    <comment ref="B13" authorId="0" shapeId="0" xr:uid="{E74FF24A-423D-4BD1-8EB7-6E20D0556225}">
      <text>
        <r>
          <rPr>
            <b/>
            <sz val="9"/>
            <color indexed="81"/>
            <rFont val="Tahoma"/>
            <family val="2"/>
          </rPr>
          <t>sgdann:
Flex US$327.42 + 1328.04;
Venture 186.85
CEI</t>
        </r>
      </text>
    </comment>
    <comment ref="C13" authorId="0" shapeId="0" xr:uid="{9E548095-3AF0-43B6-AE61-10AA0D874640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Flex US$547.06;
Venture 170.64
CEI</t>
        </r>
      </text>
    </comment>
    <comment ref="B14" authorId="0" shapeId="0" xr:uid="{596EFCBA-C193-465F-A352-767B21D5FA89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+Venture USD160 Transportation
 </t>
        </r>
      </text>
    </comment>
    <comment ref="C17" authorId="0" shapeId="0" xr:uid="{697BAC35-9B69-45AB-BB3B-BF92C04384AA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  <comment ref="E17" authorId="0" shapeId="0" xr:uid="{F110F953-77E0-4281-95B1-ADAD66CBBC21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CEI Batam due on 25 Apr 2020;
+ 800 onsite fee</t>
        </r>
      </text>
    </comment>
    <comment ref="H17" authorId="0" shapeId="0" xr:uid="{76377102-9616-4722-A890-B33956952B0C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GTS in Flex Senai due on 15 Jul 2020 + 400 Onsite fee</t>
        </r>
      </text>
    </comment>
    <comment ref="B18" authorId="2" shapeId="0" xr:uid="{C10B3245-7874-4E76-A2FD-DF85E3B36450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Jan - Microprecision calibration already done before contract - HZ</t>
        </r>
      </text>
    </comment>
    <comment ref="D22" authorId="2" shapeId="0" xr:uid="{8F4FBFFB-4A0B-4F37-A1BB-18C1B82DD1F3}">
      <text>
        <r>
          <rPr>
            <b/>
            <sz val="9"/>
            <color indexed="81"/>
            <rFont val="Tahoma"/>
            <family val="2"/>
          </rPr>
          <t>Edwin Koh:</t>
        </r>
        <r>
          <rPr>
            <sz val="9"/>
            <color indexed="81"/>
            <rFont val="Tahoma"/>
            <family val="2"/>
          </rPr>
          <t xml:space="preserve">
Q1 PM kits at Venture - 13th Mar ($2093.3)</t>
        </r>
      </text>
    </comment>
  </commentList>
</comments>
</file>

<file path=xl/sharedStrings.xml><?xml version="1.0" encoding="utf-8"?>
<sst xmlns="http://schemas.openxmlformats.org/spreadsheetml/2006/main" count="49" uniqueCount="42">
  <si>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</si>
  <si>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</si>
  <si>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</si>
  <si>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</si>
  <si>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</si>
  <si>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</si>
  <si>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</si>
  <si>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</si>
  <si>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</si>
  <si>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</si>
  <si>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</si>
  <si>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Total 2019</t>
  </si>
  <si>
    <t>Others</t>
  </si>
  <si>
    <t>AOP Actual</t>
  </si>
  <si>
    <t>Delta</t>
  </si>
  <si>
    <t>Crest - Key Point (SGD9,500)</t>
  </si>
  <si>
    <t>Crest - Key Point (SGD15,000)</t>
  </si>
  <si>
    <t>Safety stock for spares</t>
  </si>
  <si>
    <t>Calibration $ to CEI</t>
  </si>
  <si>
    <t>Calibration $ to Flex</t>
  </si>
  <si>
    <t>Calibration $ to Venture</t>
  </si>
  <si>
    <t>Cumm Delta</t>
  </si>
  <si>
    <t>Calibration $ to CEI PCBA</t>
  </si>
  <si>
    <t>Calibration $ to Flex PCBA</t>
  </si>
  <si>
    <t>Calibration $ to Venture PCBA</t>
  </si>
  <si>
    <t>Grand Total (Calibration + 10% markup):</t>
  </si>
  <si>
    <t xml:space="preserve">Remarks </t>
  </si>
  <si>
    <t>Adhoc cost - spare &amp; misc</t>
  </si>
  <si>
    <t>Adhoc cost - spare &amp; misc spare &amp; misc) +10% markup</t>
  </si>
  <si>
    <t>Site financial goal</t>
  </si>
  <si>
    <t>5% below AOP</t>
  </si>
  <si>
    <t>Do not change</t>
  </si>
  <si>
    <t xml:space="preserve">Do not change </t>
  </si>
  <si>
    <t>MRO: (Repair/External)</t>
  </si>
  <si>
    <t>MRO: Chemistry based on production run rate</t>
  </si>
  <si>
    <t>Jan (Actual)</t>
  </si>
  <si>
    <t>Feb (Actual)</t>
  </si>
  <si>
    <t>Calibration -Qda</t>
  </si>
  <si>
    <t>Calibration contract (GTS)</t>
  </si>
  <si>
    <t>Calibration contract (Calibration)</t>
  </si>
  <si>
    <t>Calibration $ to Microprecision</t>
  </si>
  <si>
    <t>Mar (Actual)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</si>
</sst>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35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166" fontId="0" fillId="0" borderId="0" xfId="0" applyNumberFormat="1" applyFill="1"/>
    <xf numFmtId="44" fontId="0" fillId="0" borderId="3" xfId="0" applyNumberFormat="1" applyFill="1" applyBorder="1"/>
    <xf numFmtId="0" fontId="1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44" fontId="1" fillId="0" borderId="3" xfId="0" applyNumberFormat="1" applyFont="1" applyFill="1" applyBorder="1"/>
    <xf numFmtId="0" fontId="0" fillId="0" borderId="0" xfId="0" applyFont="1" applyFill="1" applyAlignment="1">
      <alignment horizontal="left"/>
    </xf>
    <xf numFmtId="0" fontId="3" fillId="0" borderId="0" xfId="0" applyFont="1" applyFill="1"/>
    <xf numFmtId="44" fontId="0" fillId="5" borderId="0" xfId="0" applyNumberFormat="1" applyFill="1"/>
    <xf numFmtId="44" fontId="1" fillId="5" borderId="3" xfId="0" applyNumberFormat="1" applyFont="1" applyFill="1" applyBorder="1"/>
    <xf numFmtId="0" fontId="0" fillId="5" borderId="0" xfId="0" applyFill="1"/>
    <xf numFmtId="166" fontId="0" fillId="5" borderId="0" xfId="0" applyNumberFormat="1" applyFill="1"/>
    <xf numFmtId="44" fontId="0" fillId="5" borderId="0" xfId="0" applyNumberFormat="1" applyFont="1" applyFill="1"/>
    <xf numFmtId="6" fontId="0" fillId="5" borderId="0" xfId="0" applyNumberFormat="1" applyFill="1"/>
    <xf numFmtId="44" fontId="0" fillId="5" borderId="3" xfId="0" applyNumberFormat="1" applyFill="1" applyBorder="1"/>
    <xf numFmtId="44" fontId="7" fillId="0" borderId="3" xfId="0" applyNumberFormat="1" applyFont="1" applyFill="1" applyBorder="1"/>
    <xf numFmtId="44" fontId="7" fillId="5" borderId="3" xfId="0" applyNumberFormat="1" applyFont="1" applyFill="1" applyBorder="1"/>
    <xf numFmtId="44" fontId="7" fillId="5" borderId="4" xfId="1" applyNumberFormat="1" applyFont="1" applyFill="1" applyBorder="1">
      <alignment horizontal="right" vertical="center"/>
    </xf>
    <xf numFmtId="0" fontId="1" fillId="4" borderId="0" xfId="0" applyFont="1" applyFill="1" applyAlignment="1">
      <alignment horizontal="left"/>
    </xf>
    <xf numFmtId="44" fontId="0" fillId="3" borderId="0" xfId="0" applyNumberFormat="1" applyFill="1"/>
    <xf numFmtId="0" fontId="0" fillId="6" borderId="0" xfId="0" applyFont="1" applyFill="1" applyAlignment="1">
      <alignment horizontal="left"/>
    </xf>
    <xf numFmtId="44" fontId="0" fillId="6" borderId="0" xfId="0" applyNumberFormat="1" applyFill="1"/>
    <xf numFmtId="44" fontId="0" fillId="7" borderId="0" xfId="0" applyNumberFormat="1" applyFill="1"/>
    <xf numFmtId="0" fontId="0" fillId="7" borderId="0" xfId="0" applyFill="1" applyAlignment="1">
      <alignment horizontal="left"/>
    </xf>
    <xf numFmtId="0" fontId="0" fillId="0" borderId="0" xfId="0" applyFill="1" applyAlignment="1">
      <alignment horizontal="center" vertical="center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22AA1-F7F7-4877-A922-AE9964858B24}">
  <dimension ref="A1:O32"/>
  <sheetViews>
    <sheetView tabSelected="1" zoomScaleNormal="100" workbookViewId="0">
      <selection activeCell="A16" sqref="A16"/>
    </sheetView>
  </sheetViews>
  <sheetFormatPr defaultRowHeight="14.4" x14ac:dyDescent="0.3"/>
  <cols>
    <col min="1" max="1" width="49.33203125" bestFit="1" customWidth="1"/>
    <col min="2" max="2" width="14" bestFit="1" customWidth="1"/>
    <col min="3" max="13" width="12.6640625" customWidth="1"/>
    <col min="14" max="14" width="12.5546875" bestFit="1" customWidth="1"/>
    <col min="15" max="15" width="31.5546875" bestFit="1" customWidth="1"/>
  </cols>
  <sheetData>
    <row r="1" spans="1:15" x14ac:dyDescent="0.3">
      <c r="F1" s="4"/>
    </row>
    <row r="2" spans="1:15" x14ac:dyDescent="0.3">
      <c r="A2" s="1" t="s">
        <v>0</v>
      </c>
      <c r="B2" s="1" t="s">
        <v>35</v>
      </c>
      <c r="C2" s="1" t="s">
        <v>36</v>
      </c>
      <c r="D2" s="1" t="s">
        <v>41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8</v>
      </c>
      <c r="M2" s="1" t="s">
        <v>9</v>
      </c>
      <c r="N2" s="2" t="s">
        <v>11</v>
      </c>
      <c r="O2" s="2" t="s">
        <v>26</v>
      </c>
    </row>
    <row r="3" spans="1:15" x14ac:dyDescent="0.3">
      <c r="A3" s="16" t="s">
        <v>18</v>
      </c>
      <c r="B3" s="3"/>
      <c r="C3" s="3"/>
      <c r="D3" s="3"/>
      <c r="E3" s="3"/>
      <c r="F3" s="3"/>
      <c r="G3" s="3">
        <v>590.94000000000005</v>
      </c>
      <c r="H3" s="3"/>
      <c r="I3" s="3"/>
      <c r="J3" s="3"/>
      <c r="K3" s="3"/>
      <c r="L3" s="3"/>
      <c r="M3" s="3"/>
      <c r="N3" s="3">
        <f t="shared" ref="N3:N9" si="0">SUM(B3:M3)</f>
        <v>590.94000000000005</v>
      </c>
      <c r="O3" s="34"/>
    </row>
    <row r="4" spans="1:15" x14ac:dyDescent="0.3">
      <c r="A4" s="16" t="s">
        <v>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4"/>
    </row>
    <row r="5" spans="1:15" x14ac:dyDescent="0.3">
      <c r="A5" s="16" t="s">
        <v>19</v>
      </c>
      <c r="B5" s="3">
        <f>577.2*1.05+538.35</f>
        <v>1144.4100000000001</v>
      </c>
      <c r="C5" s="3"/>
      <c r="D5" s="3"/>
      <c r="E5" s="18"/>
      <c r="F5" s="18"/>
      <c r="G5" s="18"/>
      <c r="H5" s="18"/>
      <c r="I5" s="18">
        <f>141.94*1.05+2003.4</f>
        <v>2152.4369999999999</v>
      </c>
      <c r="J5" s="18"/>
      <c r="K5" s="18"/>
      <c r="L5" s="18"/>
      <c r="M5" s="18">
        <f>421.16*1.05+738.25</f>
        <v>1180.4680000000001</v>
      </c>
      <c r="N5" s="3">
        <f t="shared" si="0"/>
        <v>4477.3149999999996</v>
      </c>
      <c r="O5" s="34"/>
    </row>
    <row r="6" spans="1:15" x14ac:dyDescent="0.3">
      <c r="A6" s="16" t="s">
        <v>23</v>
      </c>
      <c r="B6" s="3"/>
      <c r="C6" s="3"/>
      <c r="D6" s="3"/>
      <c r="E6" s="18"/>
      <c r="F6" s="18"/>
      <c r="G6" s="18">
        <v>618.03</v>
      </c>
      <c r="H6" s="18"/>
      <c r="I6" s="18"/>
      <c r="J6" s="18">
        <v>303.98</v>
      </c>
      <c r="K6" s="18"/>
      <c r="L6" s="18"/>
      <c r="M6" s="18"/>
      <c r="N6" s="3"/>
      <c r="O6" s="34"/>
    </row>
    <row r="7" spans="1:15" x14ac:dyDescent="0.3">
      <c r="A7" s="16" t="s">
        <v>20</v>
      </c>
      <c r="B7" s="3">
        <v>494.4</v>
      </c>
      <c r="C7" s="3"/>
      <c r="D7" s="3">
        <v>-933.32</v>
      </c>
      <c r="E7" s="18"/>
      <c r="F7" s="18"/>
      <c r="G7" s="18"/>
      <c r="H7" s="18"/>
      <c r="I7" s="18"/>
      <c r="J7" s="18">
        <v>0</v>
      </c>
      <c r="K7" s="18"/>
      <c r="L7" s="18"/>
      <c r="M7" s="18">
        <v>0</v>
      </c>
      <c r="N7" s="3">
        <f t="shared" si="0"/>
        <v>-438.92000000000007</v>
      </c>
      <c r="O7" s="34"/>
    </row>
    <row r="8" spans="1:15" x14ac:dyDescent="0.3">
      <c r="A8" s="16" t="s">
        <v>24</v>
      </c>
      <c r="B8" s="3"/>
      <c r="C8" s="3"/>
      <c r="D8" s="3"/>
      <c r="E8" s="18"/>
      <c r="F8" s="18"/>
      <c r="G8" s="18"/>
      <c r="H8" s="18"/>
      <c r="I8" s="18"/>
      <c r="J8" s="18"/>
      <c r="K8" s="18"/>
      <c r="L8" s="18"/>
      <c r="M8" s="18"/>
      <c r="N8" s="3"/>
      <c r="O8" s="34"/>
    </row>
    <row r="9" spans="1:15" x14ac:dyDescent="0.3">
      <c r="A9" s="30" t="s">
        <v>40</v>
      </c>
      <c r="B9" s="31"/>
      <c r="C9" s="31">
        <v>0</v>
      </c>
      <c r="D9" s="31">
        <v>0</v>
      </c>
      <c r="E9" s="31">
        <v>0</v>
      </c>
      <c r="F9" s="31"/>
      <c r="G9" s="31"/>
      <c r="H9" s="31"/>
      <c r="I9" s="31"/>
      <c r="J9" s="31"/>
      <c r="K9" s="31"/>
      <c r="L9" s="31">
        <v>2000</v>
      </c>
      <c r="M9" s="31"/>
      <c r="N9" s="31">
        <f t="shared" si="0"/>
        <v>2000</v>
      </c>
      <c r="O9" s="34"/>
    </row>
    <row r="10" spans="1:15" x14ac:dyDescent="0.3">
      <c r="A10" s="12" t="s">
        <v>10</v>
      </c>
      <c r="B10" s="3">
        <f>SUM(B3:B9)</f>
        <v>1638.81</v>
      </c>
      <c r="C10" s="3">
        <f t="shared" ref="C10:M10" si="1">SUM(C3:C9)</f>
        <v>0</v>
      </c>
      <c r="D10" s="3">
        <f t="shared" si="1"/>
        <v>-933.32</v>
      </c>
      <c r="E10" s="18">
        <f t="shared" si="1"/>
        <v>0</v>
      </c>
      <c r="F10" s="18">
        <f t="shared" si="1"/>
        <v>0</v>
      </c>
      <c r="G10" s="18">
        <f t="shared" si="1"/>
        <v>1208.97</v>
      </c>
      <c r="H10" s="18">
        <f t="shared" si="1"/>
        <v>0</v>
      </c>
      <c r="I10" s="18">
        <f t="shared" si="1"/>
        <v>2152.4369999999999</v>
      </c>
      <c r="J10" s="18">
        <f t="shared" si="1"/>
        <v>303.98</v>
      </c>
      <c r="K10" s="18">
        <f t="shared" si="1"/>
        <v>0</v>
      </c>
      <c r="L10" s="18">
        <f t="shared" si="1"/>
        <v>2000</v>
      </c>
      <c r="M10" s="18">
        <f t="shared" si="1"/>
        <v>1180.4680000000001</v>
      </c>
      <c r="N10" s="3">
        <f t="shared" ref="N10" si="2">SUM(B10:M10)</f>
        <v>7551.3450000000003</v>
      </c>
      <c r="O10" s="6"/>
    </row>
    <row r="11" spans="1:15" x14ac:dyDescent="0.3">
      <c r="A11" s="13" t="s">
        <v>25</v>
      </c>
      <c r="B11" s="15">
        <f>(B3+B5+B7)*1.1+B9</f>
        <v>1802.691</v>
      </c>
      <c r="C11" s="15">
        <f>(C3+C5+C7)*1.1+C9</f>
        <v>0</v>
      </c>
      <c r="D11" s="15">
        <f>(D3+D5+D7)*1.1+D9+D6</f>
        <v>-1026.652</v>
      </c>
      <c r="E11" s="19">
        <f>(E3+E5+E7)*1.1+E9</f>
        <v>0</v>
      </c>
      <c r="F11" s="19">
        <f>(F3+F5+F7)*1.1+F9</f>
        <v>0</v>
      </c>
      <c r="G11" s="19">
        <f>(G3+G5+G7)*1.1+G9+G6</f>
        <v>1268.0640000000001</v>
      </c>
      <c r="H11" s="19">
        <f>(H3+H5+H7)*1.1+H9</f>
        <v>0</v>
      </c>
      <c r="I11" s="19">
        <f>(I3+I5+I7)*1.1+I9</f>
        <v>2367.6806999999999</v>
      </c>
      <c r="J11" s="19">
        <f>(J3+J5+J7+J8)*1.1+J9+J6</f>
        <v>303.98</v>
      </c>
      <c r="K11" s="19">
        <f>(K3+K5+K7)*1.1+K9+K8</f>
        <v>0</v>
      </c>
      <c r="L11" s="19">
        <f>(L3+L5+L7)*1.1+L9</f>
        <v>2000</v>
      </c>
      <c r="M11" s="19">
        <f>(M3+M5+M7)*1.1+M9</f>
        <v>1298.5148000000002</v>
      </c>
      <c r="N11" s="15">
        <f>(N3+N5+N7)*1.1+N9</f>
        <v>7092.2684999999992</v>
      </c>
      <c r="O11" s="17" t="s">
        <v>31</v>
      </c>
    </row>
    <row r="12" spans="1:15" x14ac:dyDescent="0.3">
      <c r="A12" s="16" t="s">
        <v>37</v>
      </c>
      <c r="C12" s="6"/>
      <c r="D12" s="6">
        <v>1330.6</v>
      </c>
      <c r="E12" s="20"/>
      <c r="F12" s="20"/>
      <c r="G12" s="20">
        <v>1330.6</v>
      </c>
      <c r="H12" s="20"/>
      <c r="I12" s="20"/>
      <c r="J12" s="20">
        <v>1330.6</v>
      </c>
      <c r="K12" s="20"/>
      <c r="L12" s="20"/>
      <c r="M12" s="20">
        <v>1330.6</v>
      </c>
      <c r="O12" s="6"/>
    </row>
    <row r="13" spans="1:15" x14ac:dyDescent="0.3">
      <c r="A13" s="5" t="s">
        <v>27</v>
      </c>
      <c r="B13" s="3">
        <f>186.85+327.42+1328.04</f>
        <v>1842.31</v>
      </c>
      <c r="C13" s="3">
        <f>547.06+170.64</f>
        <v>717.69999999999993</v>
      </c>
      <c r="D13" s="3">
        <f>59.4+176.38</f>
        <v>235.78</v>
      </c>
      <c r="E13" s="18">
        <v>1100</v>
      </c>
      <c r="F13" s="18">
        <f>389.09+204.62+ 1065.5</f>
        <v>1659.21</v>
      </c>
      <c r="G13" s="18">
        <f>373.58</f>
        <v>373.58</v>
      </c>
      <c r="H13" s="18">
        <f>324.1+645.11</f>
        <v>969.21</v>
      </c>
      <c r="I13" s="18">
        <v>2000</v>
      </c>
      <c r="J13" s="18">
        <v>1004.08</v>
      </c>
      <c r="K13" s="18">
        <f>325.04+381.25+ 433.31</f>
        <v>1139.5999999999999</v>
      </c>
      <c r="L13" s="18">
        <f>9.55+442.4</f>
        <v>451.95</v>
      </c>
      <c r="M13" s="18">
        <v>2400</v>
      </c>
      <c r="N13" s="3">
        <f>SUM(B13:M13)</f>
        <v>13893.420000000002</v>
      </c>
      <c r="O13" s="6"/>
    </row>
    <row r="14" spans="1:15" ht="13.5" customHeight="1" x14ac:dyDescent="0.3">
      <c r="A14" s="14" t="s">
        <v>28</v>
      </c>
      <c r="B14" s="15">
        <f>B13*1.1+160</f>
        <v>2186.5410000000002</v>
      </c>
      <c r="C14" s="15">
        <f t="shared" ref="C14:N14" si="3">C13*1.1</f>
        <v>789.47</v>
      </c>
      <c r="D14" s="15">
        <f t="shared" si="3"/>
        <v>259.358</v>
      </c>
      <c r="E14" s="19">
        <f>E13*1.1</f>
        <v>1210</v>
      </c>
      <c r="F14" s="19">
        <f>F13*1.1</f>
        <v>1825.1310000000001</v>
      </c>
      <c r="G14" s="19">
        <f t="shared" si="3"/>
        <v>410.93799999999999</v>
      </c>
      <c r="H14" s="19">
        <f t="shared" si="3"/>
        <v>1066.1310000000001</v>
      </c>
      <c r="I14" s="19">
        <f>I13*1.1</f>
        <v>2200</v>
      </c>
      <c r="J14" s="19">
        <f t="shared" si="3"/>
        <v>1104.4880000000001</v>
      </c>
      <c r="K14" s="19">
        <f t="shared" si="3"/>
        <v>1253.56</v>
      </c>
      <c r="L14" s="19">
        <f t="shared" si="3"/>
        <v>497.14500000000004</v>
      </c>
      <c r="M14" s="19">
        <f t="shared" si="3"/>
        <v>2640</v>
      </c>
      <c r="N14" s="15">
        <f t="shared" si="3"/>
        <v>15282.762000000002</v>
      </c>
      <c r="O14" s="17" t="s">
        <v>32</v>
      </c>
    </row>
    <row r="15" spans="1:15" x14ac:dyDescent="0.3">
      <c r="A15" s="5" t="s">
        <v>15</v>
      </c>
      <c r="B15" s="3">
        <f>9500/1.36/12</f>
        <v>582.10784313725492</v>
      </c>
      <c r="C15" s="3">
        <f t="shared" ref="C15:M15" si="4">9500/1.36/12</f>
        <v>582.10784313725492</v>
      </c>
      <c r="D15" s="3">
        <f t="shared" si="4"/>
        <v>582.10784313725492</v>
      </c>
      <c r="E15" s="18">
        <f t="shared" si="4"/>
        <v>582.10784313725492</v>
      </c>
      <c r="F15" s="18">
        <f t="shared" si="4"/>
        <v>582.10784313725492</v>
      </c>
      <c r="G15" s="18">
        <f t="shared" si="4"/>
        <v>582.10784313725492</v>
      </c>
      <c r="H15" s="18">
        <f t="shared" si="4"/>
        <v>582.10784313725492</v>
      </c>
      <c r="I15" s="18">
        <f t="shared" si="4"/>
        <v>582.10784313725492</v>
      </c>
      <c r="J15" s="18">
        <f t="shared" si="4"/>
        <v>582.10784313725492</v>
      </c>
      <c r="K15" s="18">
        <f t="shared" si="4"/>
        <v>582.10784313725492</v>
      </c>
      <c r="L15" s="18">
        <f t="shared" si="4"/>
        <v>582.10784313725492</v>
      </c>
      <c r="M15" s="18">
        <f t="shared" si="4"/>
        <v>582.10784313725492</v>
      </c>
      <c r="N15" s="29">
        <f>SUM(B15:M15)</f>
        <v>6985.2941176470604</v>
      </c>
      <c r="O15" s="17" t="s">
        <v>32</v>
      </c>
    </row>
    <row r="16" spans="1:15" x14ac:dyDescent="0.3">
      <c r="A16" s="5" t="s">
        <v>16</v>
      </c>
      <c r="B16" s="3">
        <f>15000/1.36/12</f>
        <v>919.11764705882342</v>
      </c>
      <c r="C16" s="3">
        <f t="shared" ref="C16:M16" si="5">15000/1.36/12</f>
        <v>919.11764705882342</v>
      </c>
      <c r="D16" s="3">
        <f t="shared" si="5"/>
        <v>919.11764705882342</v>
      </c>
      <c r="E16" s="18">
        <f t="shared" si="5"/>
        <v>919.11764705882342</v>
      </c>
      <c r="F16" s="18">
        <f t="shared" si="5"/>
        <v>919.11764705882342</v>
      </c>
      <c r="G16" s="18">
        <f t="shared" si="5"/>
        <v>919.11764705882342</v>
      </c>
      <c r="H16" s="18">
        <f t="shared" si="5"/>
        <v>919.11764705882342</v>
      </c>
      <c r="I16" s="18">
        <f t="shared" si="5"/>
        <v>919.11764705882342</v>
      </c>
      <c r="J16" s="18">
        <f t="shared" si="5"/>
        <v>919.11764705882342</v>
      </c>
      <c r="K16" s="18">
        <f t="shared" si="5"/>
        <v>919.11764705882342</v>
      </c>
      <c r="L16" s="18">
        <f t="shared" si="5"/>
        <v>919.11764705882342</v>
      </c>
      <c r="M16" s="18">
        <f t="shared" si="5"/>
        <v>919.11764705882342</v>
      </c>
      <c r="N16" s="29">
        <f>SUM(B16:M16)</f>
        <v>11029.411764705881</v>
      </c>
      <c r="O16" s="17" t="s">
        <v>32</v>
      </c>
    </row>
    <row r="17" spans="1:15" x14ac:dyDescent="0.3">
      <c r="A17" s="33" t="s">
        <v>38</v>
      </c>
      <c r="B17" s="32">
        <v>0</v>
      </c>
      <c r="C17" s="32">
        <f>3284.36*2</f>
        <v>6568.72</v>
      </c>
      <c r="D17" s="32">
        <v>0</v>
      </c>
      <c r="E17" s="32">
        <f>3284.36*2 +800</f>
        <v>7368.72</v>
      </c>
      <c r="F17" s="32">
        <v>0</v>
      </c>
      <c r="G17" s="32">
        <v>0</v>
      </c>
      <c r="H17" s="32">
        <f>3284.36+400</f>
        <v>3684.36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29">
        <f>SUM(B17:M17)</f>
        <v>17621.8</v>
      </c>
      <c r="O17" s="17" t="s">
        <v>32</v>
      </c>
    </row>
    <row r="18" spans="1:15" x14ac:dyDescent="0.3">
      <c r="A18" s="33" t="s">
        <v>39</v>
      </c>
      <c r="B18" s="32">
        <v>1022.2222222222222</v>
      </c>
      <c r="C18" s="32">
        <v>481.48148148148152</v>
      </c>
      <c r="D18" s="32">
        <v>1333.3333333333333</v>
      </c>
      <c r="E18" s="32">
        <v>566.66999999999996</v>
      </c>
      <c r="F18" s="32">
        <v>1992.5951851851848</v>
      </c>
      <c r="G18" s="32">
        <v>392.59259259259255</v>
      </c>
      <c r="H18" s="32">
        <v>907.40740740740739</v>
      </c>
      <c r="I18" s="32">
        <v>2785.1851851851843</v>
      </c>
      <c r="J18" s="32">
        <v>51.851851851851848</v>
      </c>
      <c r="K18" s="32">
        <v>1888.8888888888887</v>
      </c>
      <c r="L18" s="32">
        <v>1211.1111111111106</v>
      </c>
      <c r="M18" s="32">
        <v>607.40740740740705</v>
      </c>
      <c r="N18" s="29">
        <f>SUM(B18:M18)</f>
        <v>13240.746666666664</v>
      </c>
      <c r="O18" s="17" t="s">
        <v>31</v>
      </c>
    </row>
    <row r="19" spans="1:15" x14ac:dyDescent="0.3">
      <c r="A19" s="28" t="s">
        <v>33</v>
      </c>
      <c r="B19" s="7">
        <v>1560.92</v>
      </c>
      <c r="C19" s="7">
        <v>278.2</v>
      </c>
      <c r="D19" s="7"/>
      <c r="E19" s="21">
        <v>981.35</v>
      </c>
      <c r="F19" s="21">
        <v>1480.2</v>
      </c>
      <c r="G19" s="21">
        <v>1480.2</v>
      </c>
      <c r="H19" s="21">
        <v>1000</v>
      </c>
      <c r="I19" s="21">
        <v>1000</v>
      </c>
      <c r="J19" s="21">
        <v>1000</v>
      </c>
      <c r="K19" s="21">
        <v>1065.22</v>
      </c>
      <c r="L19" s="21">
        <v>1000</v>
      </c>
      <c r="M19" s="21">
        <v>680</v>
      </c>
      <c r="N19" s="3">
        <f t="shared" ref="N19:N22" si="6">SUM(B19:M19)</f>
        <v>11526.089999999998</v>
      </c>
      <c r="O19" s="6"/>
    </row>
    <row r="20" spans="1:15" x14ac:dyDescent="0.3">
      <c r="A20" s="5" t="s">
        <v>34</v>
      </c>
      <c r="B20" s="7">
        <v>400</v>
      </c>
      <c r="C20" s="7">
        <v>400</v>
      </c>
      <c r="D20" s="7">
        <v>400</v>
      </c>
      <c r="E20" s="21">
        <v>500</v>
      </c>
      <c r="F20" s="21">
        <v>2520</v>
      </c>
      <c r="G20" s="21">
        <v>1520</v>
      </c>
      <c r="H20" s="21">
        <v>1520</v>
      </c>
      <c r="I20" s="21">
        <v>1520</v>
      </c>
      <c r="J20" s="21">
        <v>1520</v>
      </c>
      <c r="K20" s="21">
        <v>1520</v>
      </c>
      <c r="L20" s="21">
        <v>1520</v>
      </c>
      <c r="M20" s="21">
        <v>1520</v>
      </c>
      <c r="N20" s="3">
        <f t="shared" si="6"/>
        <v>14860</v>
      </c>
      <c r="O20" s="6"/>
    </row>
    <row r="21" spans="1:15" x14ac:dyDescent="0.3">
      <c r="A21" s="16" t="s">
        <v>17</v>
      </c>
      <c r="B21" s="6"/>
      <c r="C21" s="6"/>
      <c r="D21" s="7">
        <v>5881.74</v>
      </c>
      <c r="E21" s="21"/>
      <c r="F21" s="20">
        <v>2000</v>
      </c>
      <c r="G21" s="22">
        <v>0</v>
      </c>
      <c r="H21" s="22"/>
      <c r="I21" s="22">
        <v>2000</v>
      </c>
      <c r="J21" s="22">
        <v>5881</v>
      </c>
      <c r="K21" s="22">
        <v>1500</v>
      </c>
      <c r="L21" s="22">
        <v>3000</v>
      </c>
      <c r="M21" s="22">
        <v>5881</v>
      </c>
      <c r="N21" s="3">
        <f t="shared" si="6"/>
        <v>26143.739999999998</v>
      </c>
      <c r="O21" s="6"/>
    </row>
    <row r="22" spans="1:15" x14ac:dyDescent="0.3">
      <c r="A22" s="5" t="s">
        <v>12</v>
      </c>
      <c r="B22" s="6"/>
      <c r="C22" s="6"/>
      <c r="D22" s="6">
        <v>4000</v>
      </c>
      <c r="E22" s="20"/>
      <c r="F22" s="20"/>
      <c r="G22" s="20"/>
      <c r="H22" s="20"/>
      <c r="I22" s="20"/>
      <c r="J22" s="23"/>
      <c r="K22" s="18"/>
      <c r="L22" s="20"/>
      <c r="M22" s="20"/>
      <c r="N22" s="3">
        <f t="shared" si="6"/>
        <v>4000</v>
      </c>
      <c r="O22" s="6"/>
    </row>
    <row r="23" spans="1:15" x14ac:dyDescent="0.3">
      <c r="A23" s="6"/>
      <c r="B23" s="6"/>
      <c r="C23" s="6"/>
      <c r="D23" s="6"/>
      <c r="E23" s="20"/>
      <c r="F23" s="20"/>
      <c r="G23" s="20"/>
      <c r="H23" s="20"/>
      <c r="I23" s="20"/>
      <c r="J23" s="20"/>
      <c r="K23" s="20"/>
      <c r="L23" s="20"/>
      <c r="M23" s="20"/>
      <c r="N23" s="6"/>
      <c r="O23" s="6"/>
    </row>
    <row r="24" spans="1:15" x14ac:dyDescent="0.3">
      <c r="A24" s="12" t="s">
        <v>10</v>
      </c>
      <c r="B24" s="8">
        <f t="shared" ref="B24:N24" si="7">SUM(B11:B22)</f>
        <v>10315.909712418301</v>
      </c>
      <c r="C24" s="8">
        <f t="shared" si="7"/>
        <v>10736.796971677561</v>
      </c>
      <c r="D24" s="8">
        <f t="shared" si="7"/>
        <v>13915.38482352941</v>
      </c>
      <c r="E24" s="24">
        <f t="shared" si="7"/>
        <v>13227.965490196078</v>
      </c>
      <c r="F24" s="24">
        <f t="shared" si="7"/>
        <v>12978.361675381264</v>
      </c>
      <c r="G24" s="24">
        <f t="shared" si="7"/>
        <v>8277.2000827886695</v>
      </c>
      <c r="H24" s="24">
        <f t="shared" si="7"/>
        <v>10648.333897603487</v>
      </c>
      <c r="I24" s="24">
        <f t="shared" si="7"/>
        <v>15374.091375381264</v>
      </c>
      <c r="J24" s="24">
        <f t="shared" si="7"/>
        <v>13697.225342047932</v>
      </c>
      <c r="K24" s="24">
        <f t="shared" si="7"/>
        <v>9868.4943790849684</v>
      </c>
      <c r="L24" s="24">
        <f t="shared" si="7"/>
        <v>11181.431601307188</v>
      </c>
      <c r="M24" s="24">
        <f t="shared" si="7"/>
        <v>17858.747697603485</v>
      </c>
      <c r="N24" s="8">
        <f t="shared" si="7"/>
        <v>141675.53304901961</v>
      </c>
      <c r="O24" s="17" t="s">
        <v>32</v>
      </c>
    </row>
    <row r="25" spans="1:15" x14ac:dyDescent="0.3">
      <c r="A25" s="6"/>
      <c r="B25" s="6"/>
      <c r="C25" s="6"/>
      <c r="D25" s="6"/>
      <c r="E25" s="20"/>
      <c r="F25" s="20"/>
      <c r="G25" s="20"/>
      <c r="H25" s="20"/>
      <c r="I25" s="20"/>
      <c r="J25" s="20"/>
      <c r="K25" s="20"/>
      <c r="L25" s="20"/>
      <c r="M25" s="20"/>
      <c r="N25" s="6"/>
      <c r="O25" s="6"/>
    </row>
    <row r="26" spans="1:15" x14ac:dyDescent="0.3">
      <c r="A26" s="12" t="s">
        <v>13</v>
      </c>
      <c r="B26" s="25">
        <v>17030</v>
      </c>
      <c r="C26" s="25">
        <v>13169</v>
      </c>
      <c r="D26" s="25">
        <v>16982.27</v>
      </c>
      <c r="E26" s="26">
        <v>8870.19</v>
      </c>
      <c r="F26" s="27">
        <v>17299.12</v>
      </c>
      <c r="G26" s="27">
        <v>10994.43</v>
      </c>
      <c r="H26" s="27">
        <v>11296.18</v>
      </c>
      <c r="I26" s="27">
        <v>16544.77</v>
      </c>
      <c r="J26" s="27">
        <v>16687.91</v>
      </c>
      <c r="K26" s="27">
        <v>12714.64</v>
      </c>
      <c r="L26" s="27">
        <v>14459.63</v>
      </c>
      <c r="M26" s="27">
        <v>18389.43</v>
      </c>
      <c r="N26" s="8">
        <f>SUM(B26:M26)</f>
        <v>174437.57</v>
      </c>
      <c r="O26" s="17" t="s">
        <v>32</v>
      </c>
    </row>
    <row r="27" spans="1:15" x14ac:dyDescent="0.3">
      <c r="A27" s="6"/>
      <c r="B27" s="6"/>
      <c r="C27" s="6"/>
      <c r="D27" s="6"/>
      <c r="E27" s="20"/>
      <c r="F27" s="20"/>
      <c r="G27" s="20"/>
      <c r="H27" s="20"/>
      <c r="I27" s="20"/>
      <c r="J27" s="20"/>
      <c r="K27" s="20"/>
      <c r="L27" s="20"/>
      <c r="M27" s="20"/>
      <c r="N27" s="6"/>
      <c r="O27" s="6"/>
    </row>
    <row r="28" spans="1:15" x14ac:dyDescent="0.3">
      <c r="A28" s="9" t="s">
        <v>14</v>
      </c>
      <c r="B28" s="3">
        <f>B24-B26</f>
        <v>-6714.0902875816992</v>
      </c>
      <c r="C28" s="3">
        <f t="shared" ref="C28:M28" si="8">C24-C26</f>
        <v>-2432.2030283224394</v>
      </c>
      <c r="D28" s="3">
        <f t="shared" si="8"/>
        <v>-3066.8851764705905</v>
      </c>
      <c r="E28" s="18">
        <f t="shared" si="8"/>
        <v>4357.775490196078</v>
      </c>
      <c r="F28" s="18">
        <f t="shared" si="8"/>
        <v>-4320.7583246187351</v>
      </c>
      <c r="G28" s="18">
        <f t="shared" si="8"/>
        <v>-2717.2299172113308</v>
      </c>
      <c r="H28" s="18">
        <f t="shared" si="8"/>
        <v>-647.84610239651374</v>
      </c>
      <c r="I28" s="18">
        <f t="shared" si="8"/>
        <v>-1170.6786246187366</v>
      </c>
      <c r="J28" s="18">
        <f t="shared" si="8"/>
        <v>-2990.6846579520679</v>
      </c>
      <c r="K28" s="18">
        <f t="shared" si="8"/>
        <v>-2846.145620915031</v>
      </c>
      <c r="L28" s="18">
        <f t="shared" si="8"/>
        <v>-3278.1983986928117</v>
      </c>
      <c r="M28" s="18">
        <f t="shared" si="8"/>
        <v>-530.6823023965153</v>
      </c>
      <c r="N28" s="3"/>
      <c r="O28" s="6"/>
    </row>
    <row r="29" spans="1:15" x14ac:dyDescent="0.3">
      <c r="A29" s="6" t="s">
        <v>21</v>
      </c>
      <c r="B29" s="3">
        <f>B28</f>
        <v>-6714.0902875816992</v>
      </c>
      <c r="C29" s="3">
        <f>B29+C28</f>
        <v>-9146.2933159041386</v>
      </c>
      <c r="D29" s="3">
        <f>C29+D28</f>
        <v>-12213.178492374729</v>
      </c>
      <c r="E29" s="18">
        <f>D29+E28</f>
        <v>-7855.4030021786511</v>
      </c>
      <c r="F29" s="18">
        <f>E29+F28</f>
        <v>-12176.161326797386</v>
      </c>
      <c r="G29" s="18">
        <f>F29+G28</f>
        <v>-14893.391244008717</v>
      </c>
      <c r="H29" s="18">
        <f t="shared" ref="H29:M29" si="9">G29+H28</f>
        <v>-15541.237346405231</v>
      </c>
      <c r="I29" s="18">
        <f t="shared" si="9"/>
        <v>-16711.915971023969</v>
      </c>
      <c r="J29" s="18">
        <f t="shared" si="9"/>
        <v>-19702.600628976037</v>
      </c>
      <c r="K29" s="18">
        <f t="shared" si="9"/>
        <v>-22548.746249891068</v>
      </c>
      <c r="L29" s="18">
        <f t="shared" si="9"/>
        <v>-25826.944648583878</v>
      </c>
      <c r="M29" s="18">
        <f t="shared" si="9"/>
        <v>-26357.626950980393</v>
      </c>
      <c r="N29" s="6"/>
      <c r="O29" s="6"/>
    </row>
    <row r="30" spans="1:1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10" t="s">
        <v>29</v>
      </c>
      <c r="B32" s="11" t="s">
        <v>30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</sheetData>
  <mergeCells count="1">
    <mergeCell ref="O3:O9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DB6A31-13B6-4F1B-8A6A-39896B05D707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5ca6415a-0c97-4c39-b3bb-ffce26572dde"/>
    <ds:schemaRef ds:uri="aea9ea73-34d9-45e8-acbb-0ab804ccd4f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E056BAC-2E7F-4EFC-B113-F6042F9A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68EA9E-5287-44BA-8B40-B81B122FD9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Edwin Koh</cp:lastModifiedBy>
  <dcterms:created xsi:type="dcterms:W3CDTF">2019-05-29T08:49:28Z</dcterms:created>
  <dcterms:modified xsi:type="dcterms:W3CDTF">2020-04-08T12:28:51Z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